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bollal\Desktop\decreto 2024_9999999999 Reaction 4 avviso\"/>
    </mc:Choice>
  </mc:AlternateContent>
  <xr:revisionPtr revIDLastSave="0" documentId="13_ncr:1_{FD797E2D-40DD-4CE8-9805-C2CE9420B582}" xr6:coauthVersionLast="47" xr6:coauthVersionMax="47" xr10:uidLastSave="{00000000-0000-0000-0000-000000000000}"/>
  <bookViews>
    <workbookView xWindow="-111" yWindow="-111" windowWidth="23853" windowHeight="12911" firstSheet="1" activeTab="1" xr2:uid="{A47D6DDB-B1FD-47C9-B1A1-51AE517D262B}"/>
  </bookViews>
  <sheets>
    <sheet name="Elenco beneficiari italiani lav" sheetId="1" state="hidden" r:id="rId1"/>
    <sheet name="Elenco beneficiari italiani" sheetId="2" r:id="rId2"/>
    <sheet name="Foglio1" sheetId="4" state="hidden" r:id="rId3"/>
    <sheet name="Piano da SFC modifica 2020" sheetId="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'Elenco beneficiari italiani'!$A$2:$S$634</definedName>
    <definedName name="_xlnm._FilterDatabase" localSheetId="0" hidden="1">'Elenco beneficiari italiani lav'!$A$2:$V$2</definedName>
    <definedName name="_UNDO_UPS_" hidden="1">#REF!</definedName>
    <definedName name="_UNDO_UPS_SEL_" hidden="1">#REF!</definedName>
    <definedName name="_UNDO31X31X_" hidden="1">#REF!</definedName>
    <definedName name="acqua" localSheetId="3">#REF!</definedName>
    <definedName name="acqua">#REF!</definedName>
    <definedName name="adc" localSheetId="3">#REF!</definedName>
    <definedName name="adc">#REF!</definedName>
    <definedName name="AdCERTIFICAZIONE" localSheetId="3">#REF!</definedName>
    <definedName name="AdCERTIFICAZIONE">#REF!</definedName>
    <definedName name="ailomb">[1]Foglio2!$C:$C</definedName>
    <definedName name="aipiem">[1]Foglio2!$L:$L</definedName>
    <definedName name="aiutcert">[2]Foglio4!$A$1:$A$15</definedName>
    <definedName name="ammù" localSheetId="3">#REF!</definedName>
    <definedName name="ammù">#REF!</definedName>
    <definedName name="arc">"['file:///H:/Users/Emanuele/Downloads/Previsioni%20di%20spesa%20e%20monitoraggio%20dati%20finanziari/Report%20SIAGE%20avanzamento%20spesa/report%2011-12-2020.xlsx'#$archidata.$A$1:.$A$466]"</definedName>
    <definedName name="_xlnm.Print_Area" localSheetId="1">'Elenco beneficiari italiani'!$A$1:$R$634</definedName>
    <definedName name="_xlnm.Print_Area" localSheetId="0">'Elenco beneficiari italiani lav'!$A$3:$R$612</definedName>
    <definedName name="areyeryey" localSheetId="3">#REF!</definedName>
    <definedName name="areyeryey">#REF!</definedName>
    <definedName name="auiroyqrtiuewiptèw" localSheetId="3">#REF!</definedName>
    <definedName name="auiroyqrtiuewiptèw">#REF!</definedName>
    <definedName name="avviatononfinito">[3]Foglio16!$A:$A</definedName>
    <definedName name="billion">#REF!</definedName>
    <definedName name="bvmcmc" localSheetId="3">#REF!</definedName>
    <definedName name="bvmcmc">#REF!</definedName>
    <definedName name="cbcnvnv" localSheetId="3">#REF!</definedName>
    <definedName name="cbcnvnv">#REF!</definedName>
    <definedName name="cca" localSheetId="3">#REF!</definedName>
    <definedName name="cca">#REF!</definedName>
    <definedName name="cert">"['file:///H:/Users/Emanuele/Downloads/Previsioni%20di%20spesa%20e%20monitoraggio%20dati%20finanziari/Report%20SIAGE%20avanzamento%20spesa/report%2011-12-2020.xlsx'#$certificate.$A$1:.$A$1048576]"</definedName>
    <definedName name="certdicventidic" localSheetId="3">#REF!</definedName>
    <definedName name="certdicventidic">#REF!</definedName>
    <definedName name="certificate">"['file:///H:/Users/bona/Documents/dettaglio%20per%20stefan.xlsx'#$Foglio1.$A$1:.$A$1048576]"</definedName>
    <definedName name="certificatidic" localSheetId="3">#REF!</definedName>
    <definedName name="certificatidic">#REF!</definedName>
    <definedName name="cest">[4]Foglio1!$A:$A</definedName>
    <definedName name="check" localSheetId="3">#REF!</definedName>
    <definedName name="check">#REF!</definedName>
    <definedName name="check2" localSheetId="3">#REF!</definedName>
    <definedName name="check2">#REF!</definedName>
    <definedName name="cla" localSheetId="3">#REF!</definedName>
    <definedName name="cla">#REF!</definedName>
    <definedName name="claudio" localSheetId="3">#REF!</definedName>
    <definedName name="claudio">#REF!</definedName>
    <definedName name="controc">[5]Foglio2!$A:$A</definedName>
    <definedName name="controceck" localSheetId="3">#REF!</definedName>
    <definedName name="controceck">#REF!</definedName>
    <definedName name="controlloriestern">'[1]elenco controllori etsreni'!$A:$A</definedName>
    <definedName name="covid">"['file:///H:/Users/Emanuele/Downloads/Certificazioni%20INTERREG%2014-20/Certificazione%20dicembre%202020/Universo%20certificabile%2023-10-2020%20aiuti%20di%20stato%20puliti.xlsx'#$Foglio5.$C$1:.$C$41]"</definedName>
    <definedName name="daavviare">[3]Foglio17!$A:$A</definedName>
    <definedName name="dar" localSheetId="3">#REF!</definedName>
    <definedName name="dar">#REF!</definedName>
    <definedName name="daverif" localSheetId="3">#REF!</definedName>
    <definedName name="daverif">#REF!</definedName>
    <definedName name="daverific" localSheetId="3">#REF!</definedName>
    <definedName name="daverific">#REF!</definedName>
    <definedName name="days.per.month">#REF!</definedName>
    <definedName name="days.per.year">#REF!</definedName>
    <definedName name="dc" localSheetId="3">!#REF!</definedName>
    <definedName name="dc">!#REF!</definedName>
    <definedName name="debart">[6]Foglio8!$A$1:$A$210</definedName>
    <definedName name="dicembredicnove">#REF!</definedName>
    <definedName name="dio">[7]Foglio8!$A:$A</definedName>
    <definedName name="dp" localSheetId="3">!#REF!</definedName>
    <definedName name="dp">!#REF!</definedName>
    <definedName name="esterni">[8]Foglio1!$A:$A</definedName>
    <definedName name="estterm">[9]Foglio3!$A:$A</definedName>
    <definedName name="fe" localSheetId="3">#REF!</definedName>
    <definedName name="fe">#REF!</definedName>
    <definedName name="fr">"['file:///H:/Users/Emanuele/Downloads/Previsioni%20di%20spesa%20e%20monitoraggio%20dati%20finanziari/Report%20SIAGE%20avanzamento%20spesa/report%20al%2009-11-2020.xlsx'#$Foglio1.$A$1:.$A$1048576]"</definedName>
    <definedName name="FRE" localSheetId="3">#REF!</definedName>
    <definedName name="FRE">#REF!</definedName>
    <definedName name="fuoco" localSheetId="3">#REF!</definedName>
    <definedName name="fuoco">#REF!</definedName>
    <definedName name="gesu" localSheetId="3">#REF!</definedName>
    <definedName name="gesu">#REF!</definedName>
    <definedName name="GTR" localSheetId="3">#REF!</definedName>
    <definedName name="GTR">#REF!</definedName>
    <definedName name="haeuigsfiuvhuiafv" localSheetId="3">#REF!</definedName>
    <definedName name="haeuigsfiuvhuiafv">#REF!</definedName>
    <definedName name="hairoutipwoerirpoj" localSheetId="3">#REF!</definedName>
    <definedName name="hairoutipwoerirpoj">#REF!</definedName>
    <definedName name="halala">[10]Lists!$B$19</definedName>
    <definedName name="hgg" localSheetId="3">#REF!</definedName>
    <definedName name="hgg">#REF!</definedName>
    <definedName name="ho">"['file:///H:/Users/Emanuele/Downloads/Previsioni%20di%20spesa%20e%20monitoraggio%20dati%20finanziari/Report%20SIAGE%20avanzamento%20spesa/report%20al%2009-11-2020.xlsx'#$Foglio6.$A$1:.$A$375]"</definedName>
    <definedName name="hours.per.day">#REF!</definedName>
    <definedName name="hours.per.year">#REF!</definedName>
    <definedName name="jack" localSheetId="3">#REF!</definedName>
    <definedName name="jack">#REF!</definedName>
    <definedName name="jiwjgpiojagdkv" localSheetId="3">#REF!</definedName>
    <definedName name="jiwjgpiojagdkv">#REF!</definedName>
    <definedName name="kol">"['file:///H:/Users/bona/AppData/Local/Packages/Microsoft.MicrosoftEdge_8wekyb3d8bbwe/TempState/Downloads/report_20201119161447440%20(1).xlsx'#$Foglio1.$A$1:.$A$290]"</definedName>
    <definedName name="lop">"['file:///H:/Users/Emanuele/Downloads/Certificazioni%20INTERREG%2014-20/Certificazione%20dicembre%202020/Universo%20certificabile%2030-11-2020.xlsx'#$Foglio2.$A$1:.$A$1048576]"</definedName>
    <definedName name="MATR">'[11]Param-econ'!$A$5:$G$33</definedName>
    <definedName name="matr2" localSheetId="3">#REF!</definedName>
    <definedName name="matr2">#REF!</definedName>
    <definedName name="MAV" localSheetId="3">#REF!</definedName>
    <definedName name="MAV">#REF!</definedName>
    <definedName name="million">#REF!</definedName>
    <definedName name="minutes.per.hour">#REF!</definedName>
    <definedName name="months.per.year">#REF!</definedName>
    <definedName name="mt" localSheetId="3">!#REF!</definedName>
    <definedName name="mt">!#REF!</definedName>
    <definedName name="nbvjfbvkjfvnkfmvl" localSheetId="3">#REF!</definedName>
    <definedName name="nbvjfbvkjfvnkfmvl">#REF!</definedName>
    <definedName name="nm" localSheetId="3">!#REF!</definedName>
    <definedName name="nm">!#REF!</definedName>
    <definedName name="ok" localSheetId="3">#REF!</definedName>
    <definedName name="ok">#REF!</definedName>
    <definedName name="paolo" localSheetId="3">#REF!</definedName>
    <definedName name="paolo">#REF!</definedName>
    <definedName name="pionch" localSheetId="3">#REF!</definedName>
    <definedName name="pionch">#REF!</definedName>
    <definedName name="plm" localSheetId="3">#REF!</definedName>
    <definedName name="plm">#REF!</definedName>
    <definedName name="poijokp" localSheetId="3">#REF!</definedName>
    <definedName name="poijokp">#REF!</definedName>
    <definedName name="pol" localSheetId="3">#REF!</definedName>
    <definedName name="pol">#REF!</definedName>
    <definedName name="prospettotredici">[6]Foglio2!$A:$A</definedName>
    <definedName name="qaz" localSheetId="3">#REF!</definedName>
    <definedName name="qaz">#REF!</definedName>
    <definedName name="rew" localSheetId="3">#REF!</definedName>
    <definedName name="rew">#REF!</definedName>
    <definedName name="seconds.per.hour">#REF!</definedName>
    <definedName name="seconds.per.minute">#REF!</definedName>
    <definedName name="sitdiciassette">[6]Foglio3!$A:$A</definedName>
    <definedName name="tagliateadc" localSheetId="3">#REF!</definedName>
    <definedName name="tagliateadc">#REF!</definedName>
    <definedName name="thousand">#REF!</definedName>
    <definedName name="ticino" localSheetId="3">#REF!</definedName>
    <definedName name="ticino">#REF!</definedName>
    <definedName name="_xlnm.Print_Titles" localSheetId="1">'Elenco beneficiari italiani'!$1:$2</definedName>
    <definedName name="_xlnm.Print_Titles" localSheetId="0">'Elenco beneficiari italiani lav'!$1:$2</definedName>
    <definedName name="trtrw" localSheetId="3">#REF!</definedName>
    <definedName name="trtrw">#REF!</definedName>
    <definedName name="verifica" localSheetId="3">#REF!</definedName>
    <definedName name="verifica">#REF!</definedName>
    <definedName name="verificaterm">[9]Foglio4!$A:$A</definedName>
    <definedName name="year.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49" i="2" l="1"/>
  <c r="L549" i="2"/>
  <c r="J549" i="2"/>
  <c r="O548" i="2"/>
  <c r="L548" i="2"/>
  <c r="J548" i="2"/>
  <c r="L14" i="2"/>
  <c r="J14" i="2"/>
  <c r="J496" i="2"/>
  <c r="L496" i="2"/>
  <c r="M496" i="2" s="1"/>
  <c r="N496" i="2" s="1"/>
  <c r="L499" i="2"/>
  <c r="M499" i="2" s="1"/>
  <c r="N499" i="2" s="1"/>
  <c r="J499" i="2"/>
  <c r="L498" i="2"/>
  <c r="M498" i="2" s="1"/>
  <c r="N498" i="2" s="1"/>
  <c r="J498" i="2"/>
  <c r="L497" i="2"/>
  <c r="M497" i="2" s="1"/>
  <c r="N497" i="2" s="1"/>
  <c r="J497" i="2"/>
  <c r="L484" i="2"/>
  <c r="L467" i="2"/>
  <c r="L466" i="2"/>
  <c r="M14" i="2" l="1"/>
  <c r="N14" i="2" s="1"/>
  <c r="L66" i="2"/>
  <c r="M66" i="2" s="1"/>
  <c r="N66" i="2" s="1"/>
  <c r="J66" i="2"/>
  <c r="L594" i="2" l="1"/>
  <c r="L153" i="2" l="1"/>
  <c r="L152" i="2"/>
  <c r="L150" i="2"/>
  <c r="J467" i="2" l="1"/>
  <c r="O618" i="2" l="1"/>
  <c r="N590" i="2" l="1"/>
  <c r="M591" i="2"/>
  <c r="M592" i="2"/>
  <c r="L592" i="2"/>
  <c r="L591" i="2"/>
  <c r="K590" i="2"/>
  <c r="J592" i="2"/>
  <c r="J591" i="2"/>
  <c r="K592" i="2" l="1"/>
  <c r="K591" i="2"/>
  <c r="N592" i="2"/>
  <c r="N591" i="2"/>
  <c r="M467" i="2"/>
  <c r="N467" i="2" s="1"/>
  <c r="M466" i="2"/>
  <c r="N466" i="2" s="1"/>
  <c r="K467" i="2"/>
  <c r="J466" i="2"/>
  <c r="M484" i="2" l="1"/>
  <c r="J484" i="2"/>
  <c r="N484" i="2" l="1"/>
  <c r="M594" i="2" l="1"/>
  <c r="J594" i="2"/>
  <c r="N594" i="2" l="1"/>
  <c r="K594" i="2"/>
  <c r="L148" i="2" l="1"/>
  <c r="J148" i="2"/>
  <c r="J153" i="2" l="1"/>
  <c r="J152" i="2"/>
  <c r="L151" i="2"/>
  <c r="M151" i="2" s="1"/>
  <c r="N151" i="2" s="1"/>
  <c r="J151" i="2"/>
  <c r="M150" i="2"/>
  <c r="N150" i="2" s="1"/>
  <c r="J150" i="2"/>
  <c r="L149" i="2"/>
  <c r="M149" i="2" s="1"/>
  <c r="N149" i="2" s="1"/>
  <c r="J149" i="2"/>
  <c r="M148" i="2"/>
  <c r="N148" i="2" s="1"/>
  <c r="L468" i="2"/>
  <c r="N468" i="2" s="1"/>
  <c r="J468" i="2"/>
  <c r="L440" i="2"/>
  <c r="J440" i="2"/>
  <c r="M153" i="2" l="1"/>
  <c r="N153" i="2" s="1"/>
  <c r="M152" i="2"/>
  <c r="N152" i="2" s="1"/>
  <c r="L350" i="2"/>
  <c r="J350" i="2"/>
  <c r="L347" i="2"/>
  <c r="M347" i="2" s="1"/>
  <c r="J347" i="2"/>
  <c r="K347" i="2" s="1"/>
  <c r="L349" i="2"/>
  <c r="M349" i="2" s="1"/>
  <c r="J349" i="2"/>
  <c r="L345" i="2"/>
  <c r="M345" i="2" s="1"/>
  <c r="J345" i="2"/>
  <c r="L344" i="2"/>
  <c r="J344" i="2"/>
  <c r="K344" i="2" l="1"/>
  <c r="M344" i="2"/>
  <c r="K345" i="2"/>
  <c r="K350" i="2"/>
  <c r="K349" i="2"/>
  <c r="M350" i="2"/>
  <c r="J17" i="2"/>
  <c r="L17" i="2"/>
  <c r="M17" i="2" s="1"/>
  <c r="N17" i="2" s="1"/>
  <c r="L16" i="2"/>
  <c r="M16" i="2" s="1"/>
  <c r="N16" i="2" s="1"/>
  <c r="J16" i="2"/>
  <c r="L15" i="2"/>
  <c r="M15" i="2" s="1"/>
  <c r="N15" i="2" s="1"/>
  <c r="J15" i="2"/>
  <c r="K15" i="2" s="1"/>
  <c r="L211" i="2" l="1"/>
  <c r="J211" i="2"/>
  <c r="L210" i="2"/>
  <c r="J210" i="2"/>
  <c r="L209" i="2"/>
  <c r="J209" i="2"/>
  <c r="L208" i="2"/>
  <c r="J208" i="2"/>
  <c r="L469" i="2"/>
  <c r="J469" i="2"/>
  <c r="K469" i="2" l="1"/>
  <c r="M469" i="2"/>
  <c r="N469" i="2" s="1"/>
  <c r="N425" i="2"/>
  <c r="N413" i="2"/>
  <c r="N408" i="2"/>
  <c r="N406" i="2"/>
  <c r="N338" i="2"/>
  <c r="N295" i="2"/>
  <c r="N258" i="2"/>
  <c r="N249" i="2"/>
  <c r="N187" i="2"/>
  <c r="N183" i="2"/>
  <c r="N181" i="2"/>
  <c r="N180" i="2"/>
  <c r="N179" i="2"/>
  <c r="N105" i="2"/>
  <c r="N26" i="2"/>
  <c r="N18" i="2"/>
  <c r="N19" i="2"/>
  <c r="N5" i="2"/>
  <c r="L439" i="2" l="1"/>
  <c r="M439" i="2" s="1"/>
  <c r="L88" i="2"/>
  <c r="M88" i="2" s="1"/>
  <c r="J88" i="2"/>
  <c r="K88" i="2" s="1"/>
  <c r="J442" i="2" l="1"/>
  <c r="L442" i="2"/>
  <c r="M442" i="2" s="1"/>
  <c r="N442" i="2" s="1"/>
  <c r="J441" i="2"/>
  <c r="L441" i="2"/>
  <c r="M440" i="2"/>
  <c r="K440" i="2"/>
  <c r="K441" i="2" l="1"/>
  <c r="N440" i="2"/>
  <c r="L383" i="2"/>
  <c r="M383" i="2" s="1"/>
  <c r="N383" i="2" s="1"/>
  <c r="J383" i="2"/>
  <c r="L380" i="2"/>
  <c r="M380" i="2" s="1"/>
  <c r="N380" i="2" s="1"/>
  <c r="J380" i="2"/>
  <c r="K382" i="2"/>
  <c r="J381" i="2"/>
  <c r="K381" i="2" s="1"/>
  <c r="L381" i="2"/>
  <c r="M381" i="2" s="1"/>
  <c r="L116" i="2" l="1"/>
  <c r="M116" i="2" s="1"/>
  <c r="N116" i="2" s="1"/>
  <c r="J116" i="2"/>
  <c r="J114" i="2"/>
  <c r="J115" i="2"/>
  <c r="L115" i="2"/>
  <c r="M115" i="2" s="1"/>
  <c r="L118" i="2"/>
  <c r="M118" i="2" s="1"/>
  <c r="N118" i="2" s="1"/>
  <c r="J118" i="2"/>
  <c r="K116" i="2" l="1"/>
  <c r="K115" i="2"/>
  <c r="J117" i="2" l="1"/>
  <c r="L117" i="2"/>
  <c r="M117" i="2" s="1"/>
  <c r="L114" i="2"/>
  <c r="M114" i="2" l="1"/>
  <c r="K114" i="2"/>
  <c r="K117" i="2"/>
  <c r="M210" i="2"/>
  <c r="N210" i="2" s="1"/>
  <c r="M209" i="2" l="1"/>
  <c r="K209" i="2"/>
  <c r="M211" i="2"/>
  <c r="N211" i="2" s="1"/>
  <c r="M208" i="2"/>
  <c r="N208" i="2" l="1"/>
  <c r="J113" i="2"/>
  <c r="L113" i="2"/>
  <c r="M113" i="2" s="1"/>
  <c r="N113" i="2" s="1"/>
  <c r="L257" i="2" l="1"/>
  <c r="M257" i="2" s="1"/>
  <c r="J257" i="2"/>
  <c r="L256" i="2"/>
  <c r="M256" i="2" s="1"/>
  <c r="J256" i="2"/>
  <c r="J353" i="2"/>
  <c r="L89" i="2"/>
  <c r="K257" i="2" l="1"/>
  <c r="K256" i="2"/>
  <c r="J89" i="2"/>
  <c r="K89" i="2" s="1"/>
  <c r="J128" i="2" l="1"/>
  <c r="L128" i="2"/>
  <c r="M128" i="2" s="1"/>
  <c r="N128" i="2" s="1"/>
  <c r="J451" i="2"/>
  <c r="J452" i="2"/>
  <c r="J435" i="2"/>
  <c r="M428" i="2"/>
  <c r="N428" i="2" s="1"/>
  <c r="M429" i="2"/>
  <c r="N429" i="2" s="1"/>
  <c r="J429" i="2"/>
  <c r="J428" i="2"/>
  <c r="J427" i="2"/>
  <c r="J426" i="2"/>
  <c r="L429" i="2"/>
  <c r="L428" i="2"/>
  <c r="L427" i="2"/>
  <c r="N427" i="2" s="1"/>
  <c r="L426" i="2"/>
  <c r="M426" i="2" s="1"/>
  <c r="N426" i="2" s="1"/>
  <c r="J450" i="2"/>
  <c r="L452" i="2"/>
  <c r="M452" i="2" s="1"/>
  <c r="N452" i="2" s="1"/>
  <c r="L451" i="2"/>
  <c r="N451" i="2" s="1"/>
  <c r="L450" i="2"/>
  <c r="M450" i="2" s="1"/>
  <c r="N450" i="2" s="1"/>
  <c r="L437" i="2"/>
  <c r="M437" i="2" s="1"/>
  <c r="J437" i="2"/>
  <c r="L436" i="2"/>
  <c r="M436" i="2" s="1"/>
  <c r="N436" i="2" s="1"/>
  <c r="J436" i="2"/>
  <c r="L435" i="2"/>
  <c r="M435" i="2" s="1"/>
  <c r="N435" i="2" s="1"/>
  <c r="L273" i="2"/>
  <c r="M273" i="2" s="1"/>
  <c r="N273" i="2" s="1"/>
  <c r="J273" i="2"/>
  <c r="N437" i="2" l="1"/>
  <c r="L205" i="2"/>
  <c r="M205" i="2" s="1"/>
  <c r="N205" i="2" s="1"/>
  <c r="J205" i="2"/>
  <c r="J204" i="2"/>
  <c r="L203" i="2"/>
  <c r="N203" i="2" s="1"/>
  <c r="J203" i="2"/>
  <c r="L202" i="2"/>
  <c r="N202" i="2" s="1"/>
  <c r="J202" i="2"/>
  <c r="L201" i="2"/>
  <c r="M201" i="2" s="1"/>
  <c r="N201" i="2" s="1"/>
  <c r="J201" i="2"/>
  <c r="L200" i="2"/>
  <c r="N200" i="2" s="1"/>
  <c r="J200" i="2"/>
  <c r="L204" i="2"/>
  <c r="N204" i="2" s="1"/>
  <c r="L199" i="2"/>
  <c r="M199" i="2" s="1"/>
  <c r="N199" i="2" s="1"/>
  <c r="L198" i="2"/>
  <c r="M198" i="2" s="1"/>
  <c r="N198" i="2" s="1"/>
  <c r="J199" i="2"/>
  <c r="J198" i="2"/>
  <c r="L364" i="2"/>
  <c r="M364" i="2" s="1"/>
  <c r="N364" i="2" s="1"/>
  <c r="J364" i="2"/>
  <c r="J41" i="2"/>
  <c r="L41" i="2"/>
  <c r="M41" i="2" s="1"/>
  <c r="N41" i="2" s="1"/>
  <c r="L22" i="2"/>
  <c r="M22" i="2" s="1"/>
  <c r="J22" i="2"/>
  <c r="L353" i="2"/>
  <c r="L444" i="2"/>
  <c r="M444" i="2" s="1"/>
  <c r="N444" i="2" s="1"/>
  <c r="J444" i="2"/>
  <c r="L133" i="2"/>
  <c r="M133" i="2" s="1"/>
  <c r="N133" i="2" s="1"/>
  <c r="J133" i="2"/>
  <c r="L132" i="2"/>
  <c r="M132" i="2" s="1"/>
  <c r="N132" i="2" s="1"/>
  <c r="J132" i="2"/>
  <c r="L131" i="2"/>
  <c r="M131" i="2" s="1"/>
  <c r="N131" i="2" s="1"/>
  <c r="J131" i="2"/>
  <c r="L130" i="2"/>
  <c r="M130" i="2" s="1"/>
  <c r="N130" i="2" s="1"/>
  <c r="J130" i="2"/>
  <c r="L129" i="2"/>
  <c r="M129" i="2" s="1"/>
  <c r="N129" i="2" s="1"/>
  <c r="J129" i="2"/>
  <c r="L65" i="2"/>
  <c r="M65" i="2" s="1"/>
  <c r="N65" i="2" s="1"/>
  <c r="J65" i="2"/>
  <c r="L64" i="2"/>
  <c r="M64" i="2" s="1"/>
  <c r="N64" i="2" s="1"/>
  <c r="J64" i="2"/>
  <c r="L63" i="2"/>
  <c r="N63" i="2" s="1"/>
  <c r="J63" i="2"/>
  <c r="N22" i="2" l="1"/>
  <c r="K199" i="2"/>
  <c r="L22" i="4"/>
  <c r="G41" i="4"/>
  <c r="I41" i="4" s="1"/>
  <c r="F41" i="4"/>
  <c r="H41" i="4"/>
  <c r="M353" i="2" l="1"/>
  <c r="N353" i="2" s="1"/>
  <c r="O634" i="2"/>
  <c r="Q634" i="2"/>
  <c r="J439" i="2"/>
  <c r="K439" i="2" s="1"/>
  <c r="L438" i="2"/>
  <c r="M438" i="2" s="1"/>
  <c r="N438" i="2" s="1"/>
  <c r="J438" i="2"/>
  <c r="L432" i="2" l="1"/>
  <c r="M432" i="2" s="1"/>
  <c r="N432" i="2" s="1"/>
  <c r="J432" i="2"/>
  <c r="L431" i="2"/>
  <c r="M431" i="2" s="1"/>
  <c r="N431" i="2" s="1"/>
  <c r="J431" i="2"/>
  <c r="L430" i="2"/>
  <c r="M430" i="2" s="1"/>
  <c r="N430" i="2" s="1"/>
  <c r="J430" i="2"/>
  <c r="K431" i="2" l="1"/>
  <c r="J474" i="2"/>
  <c r="L474" i="2"/>
  <c r="K474" i="2" s="1"/>
  <c r="L472" i="2"/>
  <c r="J472" i="2" s="1"/>
  <c r="L473" i="2"/>
  <c r="J473" i="2" s="1"/>
  <c r="K473" i="2" s="1"/>
  <c r="K472" i="2" l="1"/>
  <c r="M474" i="2"/>
  <c r="N474" i="2" s="1"/>
  <c r="M473" i="2"/>
  <c r="N473" i="2" s="1"/>
  <c r="M472" i="2"/>
  <c r="N472" i="2" s="1"/>
  <c r="L471" i="2" l="1"/>
  <c r="M471" i="2" s="1"/>
  <c r="N471" i="2" s="1"/>
  <c r="J471" i="2" l="1"/>
  <c r="K471" i="2" s="1"/>
  <c r="P471" i="2" l="1"/>
  <c r="L470" i="2"/>
  <c r="M470" i="2" s="1"/>
  <c r="J470" i="2"/>
  <c r="L301" i="2"/>
  <c r="M301" i="2" s="1"/>
  <c r="N301" i="2" s="1"/>
  <c r="J301" i="2"/>
  <c r="K470" i="2" l="1"/>
  <c r="N470" i="2"/>
  <c r="L185" i="2"/>
  <c r="M185" i="2" s="1"/>
  <c r="N185" i="2" s="1"/>
  <c r="J185" i="2"/>
  <c r="J322" i="2"/>
  <c r="J321" i="2"/>
  <c r="L321" i="2" s="1"/>
  <c r="K321" i="2" s="1"/>
  <c r="L322" i="2"/>
  <c r="J323" i="2"/>
  <c r="L323" i="2" s="1"/>
  <c r="K323" i="2" s="1"/>
  <c r="J320" i="2"/>
  <c r="L320" i="2" s="1"/>
  <c r="K320" i="2" s="1"/>
  <c r="L418" i="2"/>
  <c r="J418" i="2"/>
  <c r="L417" i="2"/>
  <c r="J417" i="2"/>
  <c r="M416" i="2"/>
  <c r="N416" i="2" s="1"/>
  <c r="L415" i="2"/>
  <c r="J415" i="2"/>
  <c r="L414" i="2"/>
  <c r="M414" i="2" s="1"/>
  <c r="N414" i="2" s="1"/>
  <c r="J414" i="2"/>
  <c r="L28" i="2"/>
  <c r="J28" i="2"/>
  <c r="L27" i="2"/>
  <c r="J27" i="2"/>
  <c r="K322" i="2" l="1"/>
  <c r="M415" i="2"/>
  <c r="N415" i="2" s="1"/>
  <c r="M418" i="2"/>
  <c r="N418" i="2" s="1"/>
  <c r="M417" i="2"/>
  <c r="N417" i="2" s="1"/>
  <c r="M27" i="2"/>
  <c r="M28" i="2"/>
  <c r="N28" i="2" s="1"/>
  <c r="N27" i="2" l="1"/>
  <c r="L334" i="2"/>
  <c r="J334" i="2"/>
  <c r="M334" i="2" l="1"/>
  <c r="N334" i="2" s="1"/>
  <c r="L29" i="2"/>
  <c r="M29" i="2" s="1"/>
  <c r="J29" i="2"/>
  <c r="L30" i="2"/>
  <c r="M30" i="2" s="1"/>
  <c r="N30" i="2" s="1"/>
  <c r="J30" i="2"/>
  <c r="N29" i="2" l="1"/>
  <c r="L360" i="2"/>
  <c r="M360" i="2" s="1"/>
  <c r="J360" i="2"/>
  <c r="K360" i="2" s="1"/>
  <c r="J401" i="2"/>
  <c r="M449" i="2"/>
  <c r="M448" i="2"/>
  <c r="N448" i="2" s="1"/>
  <c r="L447" i="2"/>
  <c r="M447" i="2" s="1"/>
  <c r="J447" i="2"/>
  <c r="L404" i="2"/>
  <c r="K404" i="2"/>
  <c r="J404" i="2"/>
  <c r="L403" i="2"/>
  <c r="K403" i="2"/>
  <c r="J403" i="2"/>
  <c r="L402" i="2"/>
  <c r="J402" i="2"/>
  <c r="L401" i="2"/>
  <c r="M401" i="2" s="1"/>
  <c r="N401" i="2" s="1"/>
  <c r="K401" i="2"/>
  <c r="L400" i="2"/>
  <c r="J400" i="2"/>
  <c r="N449" i="2" l="1"/>
  <c r="N447" i="2"/>
  <c r="M403" i="2"/>
  <c r="N403" i="2" s="1"/>
  <c r="M400" i="2"/>
  <c r="N400" i="2" s="1"/>
  <c r="M402" i="2"/>
  <c r="N402" i="2" s="1"/>
  <c r="M404" i="2"/>
  <c r="N404" i="2" s="1"/>
  <c r="L142" i="2" l="1"/>
  <c r="M142" i="2" s="1"/>
  <c r="N142" i="2" s="1"/>
  <c r="J142" i="2"/>
  <c r="L303" i="2"/>
  <c r="J303" i="2"/>
  <c r="K303" i="2" l="1"/>
  <c r="M303" i="2"/>
  <c r="P612" i="2"/>
  <c r="P613" i="2"/>
  <c r="P614" i="2"/>
  <c r="P615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N269" i="2"/>
  <c r="M89" i="2" l="1"/>
  <c r="L72" i="2"/>
  <c r="J72" i="2"/>
  <c r="J634" i="2" s="1"/>
  <c r="K72" i="2" l="1"/>
  <c r="P72" i="2"/>
  <c r="M72" i="2"/>
  <c r="P611" i="2" l="1"/>
  <c r="P610" i="2"/>
  <c r="P609" i="2"/>
  <c r="P608" i="2"/>
  <c r="P607" i="2"/>
  <c r="L606" i="2"/>
  <c r="P606" i="2" s="1"/>
  <c r="L605" i="2"/>
  <c r="P605" i="2" s="1"/>
  <c r="L604" i="2"/>
  <c r="P604" i="2" s="1"/>
  <c r="L603" i="2"/>
  <c r="P603" i="2" s="1"/>
  <c r="L602" i="2"/>
  <c r="P602" i="2" s="1"/>
  <c r="P601" i="2"/>
  <c r="L599" i="2"/>
  <c r="P599" i="2" s="1"/>
  <c r="L598" i="2"/>
  <c r="P598" i="2" s="1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M531" i="2"/>
  <c r="N531" i="2" s="1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M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M362" i="2"/>
  <c r="N362" i="2" s="1"/>
  <c r="P361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M323" i="2"/>
  <c r="N323" i="2" s="1"/>
  <c r="M322" i="2"/>
  <c r="P321" i="2"/>
  <c r="M321" i="2"/>
  <c r="N321" i="2" s="1"/>
  <c r="P320" i="2"/>
  <c r="M320" i="2"/>
  <c r="N320" i="2" s="1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M195" i="2"/>
  <c r="N195" i="2" s="1"/>
  <c r="P194" i="2"/>
  <c r="P193" i="2"/>
  <c r="P192" i="2"/>
  <c r="P191" i="2"/>
  <c r="L190" i="2"/>
  <c r="P190" i="2" s="1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M172" i="2"/>
  <c r="N172" i="2" s="1"/>
  <c r="P171" i="2"/>
  <c r="M171" i="2"/>
  <c r="N171" i="2" s="1"/>
  <c r="P170" i="2"/>
  <c r="P169" i="2"/>
  <c r="P168" i="2"/>
  <c r="L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S440" i="1"/>
  <c r="S441" i="1"/>
  <c r="T441" i="1" s="1"/>
  <c r="S190" i="1"/>
  <c r="T190" i="1" s="1"/>
  <c r="T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T195" i="1" s="1"/>
  <c r="S194" i="1"/>
  <c r="S193" i="1"/>
  <c r="S192" i="1"/>
  <c r="S191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T172" i="1" s="1"/>
  <c r="S171" i="1"/>
  <c r="T171" i="1" s="1"/>
  <c r="S167" i="1"/>
  <c r="K612" i="1"/>
  <c r="O612" i="1"/>
  <c r="Q612" i="1"/>
  <c r="J612" i="1"/>
  <c r="J614" i="1" s="1"/>
  <c r="P611" i="1"/>
  <c r="P610" i="1"/>
  <c r="P609" i="1"/>
  <c r="P608" i="1"/>
  <c r="P607" i="1"/>
  <c r="L606" i="1"/>
  <c r="P606" i="1" s="1"/>
  <c r="L605" i="1"/>
  <c r="P605" i="1" s="1"/>
  <c r="L604" i="1"/>
  <c r="P604" i="1" s="1"/>
  <c r="L603" i="1"/>
  <c r="P603" i="1" s="1"/>
  <c r="L602" i="1"/>
  <c r="P602" i="1" s="1"/>
  <c r="P601" i="1"/>
  <c r="L599" i="1"/>
  <c r="P599" i="1" s="1"/>
  <c r="L598" i="1"/>
  <c r="P598" i="1" s="1"/>
  <c r="P195" i="1"/>
  <c r="M195" i="1"/>
  <c r="N195" i="1" s="1"/>
  <c r="P584" i="1"/>
  <c r="M584" i="1"/>
  <c r="P531" i="1"/>
  <c r="M531" i="1"/>
  <c r="N531" i="1" s="1"/>
  <c r="M362" i="1"/>
  <c r="M418" i="1"/>
  <c r="N418" i="1" s="1"/>
  <c r="L417" i="1"/>
  <c r="M415" i="1"/>
  <c r="N415" i="1" s="1"/>
  <c r="L414" i="1"/>
  <c r="M414" i="1" s="1"/>
  <c r="N414" i="1" s="1"/>
  <c r="L190" i="1"/>
  <c r="M190" i="1" s="1"/>
  <c r="L634" i="2" l="1"/>
  <c r="P167" i="2"/>
  <c r="P417" i="2"/>
  <c r="M190" i="2"/>
  <c r="P360" i="2"/>
  <c r="R360" i="2" s="1"/>
  <c r="R634" i="2" s="1"/>
  <c r="P322" i="2"/>
  <c r="M167" i="2"/>
  <c r="T167" i="1"/>
  <c r="J620" i="1"/>
  <c r="M417" i="1"/>
  <c r="N417" i="1" s="1"/>
  <c r="N362" i="1"/>
  <c r="K360" i="1"/>
  <c r="M442" i="1"/>
  <c r="N442" i="1" s="1"/>
  <c r="M441" i="1"/>
  <c r="M440" i="1"/>
  <c r="N440" i="1" s="1"/>
  <c r="M323" i="1"/>
  <c r="N323" i="1" s="1"/>
  <c r="L322" i="1"/>
  <c r="M322" i="1" s="1"/>
  <c r="M321" i="1"/>
  <c r="N321" i="1" s="1"/>
  <c r="M320" i="1"/>
  <c r="N320" i="1" s="1"/>
  <c r="M634" i="2" l="1"/>
  <c r="N167" i="2"/>
  <c r="L360" i="1"/>
  <c r="M360" i="1" s="1"/>
  <c r="M172" i="1"/>
  <c r="N172" i="1" s="1"/>
  <c r="M171" i="1"/>
  <c r="N171" i="1" s="1"/>
  <c r="L167" i="1"/>
  <c r="L612" i="1" s="1"/>
  <c r="N634" i="2" l="1"/>
  <c r="M167" i="1"/>
  <c r="M612" i="1" s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459" i="1"/>
  <c r="P464" i="1"/>
  <c r="P465" i="1"/>
  <c r="P466" i="1"/>
  <c r="P467" i="1"/>
  <c r="P468" i="1"/>
  <c r="P469" i="1"/>
  <c r="P483" i="1"/>
  <c r="P493" i="1"/>
  <c r="P494" i="1"/>
  <c r="P495" i="1"/>
  <c r="P500" i="1"/>
  <c r="P501" i="1"/>
  <c r="P502" i="1"/>
  <c r="P514" i="1"/>
  <c r="P515" i="1"/>
  <c r="P516" i="1"/>
  <c r="P517" i="1"/>
  <c r="P523" i="1"/>
  <c r="P524" i="1"/>
  <c r="P525" i="1"/>
  <c r="P526" i="1"/>
  <c r="P558" i="1"/>
  <c r="P559" i="1"/>
  <c r="P560" i="1"/>
  <c r="P561" i="1"/>
  <c r="P562" i="1"/>
  <c r="P563" i="1"/>
  <c r="P564" i="1"/>
  <c r="P570" i="1"/>
  <c r="P571" i="1"/>
  <c r="P572" i="1"/>
  <c r="P573" i="1"/>
  <c r="P576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453" i="1"/>
  <c r="P454" i="1"/>
  <c r="P455" i="1"/>
  <c r="P456" i="1"/>
  <c r="P457" i="1"/>
  <c r="P458" i="1"/>
  <c r="P481" i="1"/>
  <c r="P482" i="1"/>
  <c r="P488" i="1"/>
  <c r="P489" i="1"/>
  <c r="P490" i="1"/>
  <c r="P491" i="1"/>
  <c r="P492" i="1"/>
  <c r="P503" i="1"/>
  <c r="P504" i="1"/>
  <c r="P505" i="1"/>
  <c r="P506" i="1"/>
  <c r="P507" i="1"/>
  <c r="P508" i="1"/>
  <c r="P518" i="1"/>
  <c r="P519" i="1"/>
  <c r="P520" i="1"/>
  <c r="P521" i="1"/>
  <c r="P522" i="1"/>
  <c r="P529" i="1"/>
  <c r="P530" i="1"/>
  <c r="P532" i="1"/>
  <c r="P533" i="1"/>
  <c r="P534" i="1"/>
  <c r="P535" i="1"/>
  <c r="P536" i="1"/>
  <c r="P542" i="1"/>
  <c r="P543" i="1"/>
  <c r="P544" i="1"/>
  <c r="P545" i="1"/>
  <c r="P550" i="1"/>
  <c r="P551" i="1"/>
  <c r="P552" i="1"/>
  <c r="P553" i="1"/>
  <c r="P554" i="1"/>
  <c r="P555" i="1"/>
  <c r="P556" i="1"/>
  <c r="P557" i="1"/>
  <c r="P565" i="1"/>
  <c r="P577" i="1"/>
  <c r="P578" i="1"/>
  <c r="P579" i="1"/>
  <c r="P580" i="1"/>
  <c r="P581" i="1"/>
  <c r="P582" i="1"/>
  <c r="P583" i="1"/>
  <c r="P585" i="1"/>
  <c r="P586" i="1"/>
  <c r="P587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477" i="1"/>
  <c r="P486" i="1"/>
  <c r="P487" i="1"/>
  <c r="P509" i="1"/>
  <c r="P510" i="1"/>
  <c r="P511" i="1"/>
  <c r="P512" i="1"/>
  <c r="P513" i="1"/>
  <c r="P53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R360" i="1" s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70" i="1"/>
  <c r="P471" i="1"/>
  <c r="P472" i="1"/>
  <c r="P473" i="1"/>
  <c r="P474" i="1"/>
  <c r="P475" i="1"/>
  <c r="P476" i="1"/>
  <c r="P484" i="1"/>
  <c r="P485" i="1"/>
  <c r="P527" i="1"/>
  <c r="P528" i="1"/>
  <c r="P538" i="1"/>
  <c r="P539" i="1"/>
  <c r="P540" i="1"/>
  <c r="P541" i="1"/>
  <c r="P547" i="1"/>
  <c r="P548" i="1"/>
  <c r="P549" i="1"/>
  <c r="P574" i="1"/>
  <c r="P575" i="1"/>
  <c r="P588" i="1"/>
  <c r="P589" i="1"/>
  <c r="P590" i="1"/>
  <c r="P591" i="1"/>
  <c r="P592" i="1"/>
  <c r="P593" i="1"/>
  <c r="P594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60" i="1"/>
  <c r="P461" i="1"/>
  <c r="P462" i="1"/>
  <c r="P463" i="1"/>
  <c r="P478" i="1"/>
  <c r="P479" i="1"/>
  <c r="P480" i="1"/>
  <c r="P496" i="1"/>
  <c r="P497" i="1"/>
  <c r="P498" i="1"/>
  <c r="P499" i="1"/>
  <c r="P546" i="1"/>
  <c r="P566" i="1"/>
  <c r="P567" i="1"/>
  <c r="P568" i="1"/>
  <c r="P569" i="1"/>
  <c r="P595" i="1"/>
  <c r="P596" i="1"/>
  <c r="P597" i="1"/>
  <c r="P3" i="1"/>
  <c r="R612" i="1" l="1"/>
  <c r="L614" i="1" s="1"/>
  <c r="S360" i="1"/>
  <c r="S612" i="1" s="1"/>
  <c r="M614" i="1" s="1"/>
  <c r="T360" i="1"/>
  <c r="T612" i="1" s="1"/>
  <c r="P612" i="1"/>
  <c r="N167" i="1"/>
  <c r="N612" i="1" s="1"/>
  <c r="N614" i="1" s="1"/>
</calcChain>
</file>

<file path=xl/sharedStrings.xml><?xml version="1.0" encoding="utf-8"?>
<sst xmlns="http://schemas.openxmlformats.org/spreadsheetml/2006/main" count="9603" uniqueCount="785">
  <si>
    <t>ASSE</t>
  </si>
  <si>
    <t>ACRONIMO</t>
  </si>
  <si>
    <t>CONTRIBUTO APPROVATO</t>
  </si>
  <si>
    <t>AUTOFINANZIAMENTO  APPROVATO</t>
  </si>
  <si>
    <t>BUDGET TOTALE APPROVATO</t>
  </si>
  <si>
    <t>Asse 1</t>
  </si>
  <si>
    <t>Eat Biodiversity</t>
  </si>
  <si>
    <t>Primo</t>
  </si>
  <si>
    <t>Association regionale eleveurs valdotains (CAPOFILA IT)</t>
  </si>
  <si>
    <t>Leuciti</t>
  </si>
  <si>
    <t>Università del Piemonte Orientale (CAPOFILA IT)</t>
  </si>
  <si>
    <t>Università degli Studi dell'Insubria</t>
  </si>
  <si>
    <t>Fondazione M.Tettamanti M.De Marchi</t>
  </si>
  <si>
    <t>Camera di Commercio di Como-Lecco (CAPOFILA IT)</t>
  </si>
  <si>
    <t>Confindustria Como</t>
  </si>
  <si>
    <t>Università Commerciale Luigi Bocconi</t>
  </si>
  <si>
    <t>Up Keep The Alps</t>
  </si>
  <si>
    <t>Ente Regionale per i Servizi all'Agricoltura e alle Foreste - ERSAF (CAPOFILA IT)</t>
  </si>
  <si>
    <t>Regione Lombardia  - DG Sport e politiche per i giovani</t>
  </si>
  <si>
    <t xml:space="preserve">Ente parco regionale Campo dei fiori </t>
  </si>
  <si>
    <t>Club Alpino Italiano Regione Lombardia (CAI LOMBARDIA)</t>
  </si>
  <si>
    <t>TYPICALP</t>
  </si>
  <si>
    <t>Institut Agricole Régional - Aosta</t>
  </si>
  <si>
    <t>Fondazione Links (Aosta)</t>
  </si>
  <si>
    <t>Camera valdostana delle imprese e delle professioni - Aosta</t>
  </si>
  <si>
    <t>Regione Autonoma Valle d'Aosta - Dipartimento Agricoltura</t>
  </si>
  <si>
    <t>SINBIOVAL</t>
  </si>
  <si>
    <t>Comunità montana Valtellina - Sondrio</t>
  </si>
  <si>
    <t>Comune di Chiuro (SO)</t>
  </si>
  <si>
    <t>Fondazione Fojanini di Studi Superiori azienda agricola - Sondrio</t>
  </si>
  <si>
    <t>Valtellinabio srl - Sondrio</t>
  </si>
  <si>
    <t>Camera di commercio di Sondrio</t>
  </si>
  <si>
    <t>Latteria Sociale di Chiuro società cooperativa agricola - Sondrio</t>
  </si>
  <si>
    <t xml:space="preserve">SKILLMATCH INSUBRIA </t>
  </si>
  <si>
    <t>Università Carlo Cattaneo LIUC – Castellanza (VA)</t>
  </si>
  <si>
    <t>PTSCLAS s.p.a. – Lecco</t>
  </si>
  <si>
    <t>Università degli Studi dell'Insubria - Varese</t>
  </si>
  <si>
    <t>BIPV</t>
  </si>
  <si>
    <t>Europaeische Akademie Bozen auf italienisch "Accademia europea di Bolzano" auf ladinisch "Academia europeica Bulsan" auf englisch "European academy of Bozen - Bolzano</t>
  </si>
  <si>
    <t xml:space="preserve">Regione Lombardia - Direzione Generale Territorio e Protezione civile – Struttura
Paesaggio  </t>
  </si>
  <si>
    <t>AMALAKE</t>
  </si>
  <si>
    <t xml:space="preserve">Camera di Commercio,  Industria, Artigianato e Agricoltura Monte Rosa Laghi Alto Piemonte (CAPOFILA IT) </t>
  </si>
  <si>
    <t>Camera di Commercio Industria Artigianato Agricoltura di Varese (Varese)</t>
  </si>
  <si>
    <t>R.I.S.I.C.O</t>
  </si>
  <si>
    <t>ECOLE - Enti Confindustriali Lombardi per l'educazione società consortile a r.l. - Como</t>
  </si>
  <si>
    <t>UNIVA SERVIZI s.r.l. - Gallarate (VA)</t>
  </si>
  <si>
    <t>Unindustria Servizi s.r.l. - Como</t>
  </si>
  <si>
    <t>PMI NETWORK</t>
  </si>
  <si>
    <t>Politecnico di Milano (sede di Lecco)</t>
  </si>
  <si>
    <t>Camera di Commercio di Como-Lecco (Como)</t>
  </si>
  <si>
    <t>Fondazione Politecnico di Milano – Milano</t>
  </si>
  <si>
    <t>Confartigianato Imprese Lombardia – Milano</t>
  </si>
  <si>
    <t>Confartigianato Imprese Lecco – Lecco</t>
  </si>
  <si>
    <t>A.P.I. Associazione Piccole e Medie Industrie di Lecco</t>
  </si>
  <si>
    <t>SKIALP@GSB</t>
  </si>
  <si>
    <t>Comune di Saint-Rhémy-en-Bosses (AO)</t>
  </si>
  <si>
    <t>Office Regional du Tourisme - Aosta</t>
  </si>
  <si>
    <t>Fondazione Montagna sicura - Montagne sûre – Courmayeur (AO)</t>
  </si>
  <si>
    <t>VIVI 2.0</t>
  </si>
  <si>
    <t>Comune di Lecco</t>
  </si>
  <si>
    <t>Comunità Montana Lario Orientale - Valle San Martino - Galbiate (LC)</t>
  </si>
  <si>
    <t>Comunità Montana Valsassina
 Valvarrone Val d'Esino e Riviera - 
Barzio (LC)</t>
  </si>
  <si>
    <t>Comunità Montana della Valchiavenna - Chiavenna (SO)</t>
  </si>
  <si>
    <t>Comunità Montana Valli del Lario e del Ceresio - Carlazzo (CO)</t>
  </si>
  <si>
    <t>Riserva Naturale Pian di Spagna e Lago di Mezzola - Sorico (CO)</t>
  </si>
  <si>
    <t>Montagne del Lago di Como – 
Crandola Valsassina (LC)</t>
  </si>
  <si>
    <t>North Lake Como Associazione Turismo e Commercio Alto Lago di Como –
Colico (LC)</t>
  </si>
  <si>
    <t>Provincia di Lecco</t>
  </si>
  <si>
    <t>Consorzio per la promozione turistica della Valchiavenna - Chiavenna (SO)</t>
  </si>
  <si>
    <t>ATEx</t>
  </si>
  <si>
    <t>Università del Piemonte Orientale
Dipartimento di Scienze del Farmaco (sede di Novara)</t>
  </si>
  <si>
    <t xml:space="preserve">APTSOL srl e semplificata - Novara </t>
  </si>
  <si>
    <t>Università degli Studi di Pavia
Dipartimento di Scienze del Farmaco - Pavia</t>
  </si>
  <si>
    <t>DAYMED srl  - Carimate (Como)</t>
  </si>
  <si>
    <t>PHARMAEXCEED srl - Pavia</t>
  </si>
  <si>
    <t>TRANSFORM</t>
  </si>
  <si>
    <t>Camera di Commercio Industria Artigianato Agricoltura di Varese</t>
  </si>
  <si>
    <t>INNOSMAD</t>
  </si>
  <si>
    <t xml:space="preserve">Consiglio Nazionale delle Ricerche
(sede Lecco) </t>
  </si>
  <si>
    <t>TECHNOSPRINGS ITALIA srl - Varese</t>
  </si>
  <si>
    <t>DESY</t>
  </si>
  <si>
    <t>Distretto Turistico dei Laghi - società consortile a r.l. - Verbania Fondotoce (VCO)</t>
  </si>
  <si>
    <t>Agenzia di accoglienza e promozione turistica locale della Provincia di Novara</t>
  </si>
  <si>
    <t>Provincia del Verbano Cusio Ossola - Verbania (VCO)</t>
  </si>
  <si>
    <t>QAES</t>
  </si>
  <si>
    <t>IDM Suedtirol - Alto Adige - Bolzano</t>
  </si>
  <si>
    <t>Provincia Autonoma Bolzano - Laboratorio di chimica fisica- Bolzano</t>
  </si>
  <si>
    <t>Agenzia per l'Energia Alto Adige - CasaClima - Dipartimento Ricerca e Sviluppo - Bolzano</t>
  </si>
  <si>
    <t>Comune di Bolzano - Ripartizione Servizi alla Comunità locale - Ufficio Scuola e Tempo libero</t>
  </si>
  <si>
    <t>INTECOFIN INSUBRIA</t>
  </si>
  <si>
    <t>Università degli Studi dell'Insubria -Varese</t>
  </si>
  <si>
    <t>MMM</t>
  </si>
  <si>
    <t>TECHINNOVA srl - Varese</t>
  </si>
  <si>
    <t>Human Factor &amp; Innovation srl - Como</t>
  </si>
  <si>
    <t>MTM srl  -Varese</t>
  </si>
  <si>
    <t>Consiglio Nazionale delle Ricerche 
(sedi di Pisa e Reggio Calabria)</t>
  </si>
  <si>
    <t>VERDEVALE</t>
  </si>
  <si>
    <t>R3 GIS srl  - Merano (BZ)</t>
  </si>
  <si>
    <t>Comune di Bolzano - Servizio Giardineria - Bolzano</t>
  </si>
  <si>
    <t>Demetra Specialist srl - Besana in Brianza (MB)</t>
  </si>
  <si>
    <t>MAC</t>
  </si>
  <si>
    <t>ATEX</t>
  </si>
  <si>
    <t>Università Piemonte Orientale</t>
  </si>
  <si>
    <t>PHARMAEXCEED S.R.L.</t>
  </si>
  <si>
    <t>CNR - Lecco</t>
  </si>
  <si>
    <t>TECHNOSPRINGS ITALIA S.R.L.</t>
  </si>
  <si>
    <t>Consorzio Turistico Val Chiavenna</t>
  </si>
  <si>
    <t>TECHINNOVA srl - Varese  (CAPOFILA IT)</t>
  </si>
  <si>
    <t>FUTURE</t>
  </si>
  <si>
    <t>terzo</t>
  </si>
  <si>
    <t>PROMOS SOCIETA' COOPERATIVA % PROMOS GENOSSENSCHAFT</t>
  </si>
  <si>
    <t>EASYGOV SOLUTIONS SRL</t>
  </si>
  <si>
    <t>APFELSTRUDEL SRL</t>
  </si>
  <si>
    <t>EMME &amp; ERRE SRL</t>
  </si>
  <si>
    <t>WBE-COVID</t>
  </si>
  <si>
    <t>IDEA-RE SRL</t>
  </si>
  <si>
    <t>SAPRA ELETTRONICA SRL</t>
  </si>
  <si>
    <t>SPRAY ANTI COVID-19</t>
  </si>
  <si>
    <t>DGP PHARMA SRL</t>
  </si>
  <si>
    <t>IBIS - INNOVATIVE BIO-BASED AND SUSTAINABLE PRODUCTS AND PROCESSES</t>
  </si>
  <si>
    <t>Resi-Alp</t>
  </si>
  <si>
    <t>ASSOCIATION REGIONALE ELEVEURS VALDOTAINS</t>
  </si>
  <si>
    <t>VERDEVALE_IV Avviso</t>
  </si>
  <si>
    <t>quarto</t>
  </si>
  <si>
    <t>R3 GIS S.R.L.</t>
  </si>
  <si>
    <t>PMI NETWORK_IV Avviso</t>
  </si>
  <si>
    <t>Politecnico di Milano</t>
  </si>
  <si>
    <t>FONDAZIONE POLITECNICO DI MILANO</t>
  </si>
  <si>
    <t>SMART STRATEGIE sostenibili e MODELLI di AZIENDE RESPONSABILI nel TERRITORIO transfrontaliero_IV Avviso</t>
  </si>
  <si>
    <t>Camera di Commercio Como-Lecco</t>
  </si>
  <si>
    <t>Unindustria Como</t>
  </si>
  <si>
    <t>INNOSMAD_IV Avviso</t>
  </si>
  <si>
    <t>Consiglio Nazionale delle Ricerche</t>
  </si>
  <si>
    <t>BIPV meets History_IV Avviso</t>
  </si>
  <si>
    <t>EUROPAEISCHE AKADEMIE BOZEN AUF ITALIENISCH "ACCADEMIA EUROPEA DI BOLZANO " AUF LADINISCH "ACADEMIA EUROPEICA BULSAN" AUF ENGLISCH "EUROPEAN ACADEMY OF BOZEN-BOLZANO"</t>
  </si>
  <si>
    <t>ATEx_IV Avviso</t>
  </si>
  <si>
    <t>Università del Piemonte Orientale</t>
  </si>
  <si>
    <t>APTSOL SOCIETA' A RESPONSABILITA' LIMITATA SEMPLIFICATA</t>
  </si>
  <si>
    <t>TYPICALP_IV Avviso</t>
  </si>
  <si>
    <t>Institut Agricole Régional</t>
  </si>
  <si>
    <t>Links - LEADING INNOVATION &amp; KNOWLEDGE FOR SOCIETY DELL'INFORMAZIONE E DELLE TELECOMUNICAZIONI</t>
  </si>
  <si>
    <t>CAMERA VALDOSTANA DELLE IMPRESE E DELLE PROFESSIONI</t>
  </si>
  <si>
    <t>AMALAKE_IV Avviso</t>
  </si>
  <si>
    <t>Camera di Commercio Industria Artigianato Agricoltura Monte Rosa Laghi Alto Piemonte</t>
  </si>
  <si>
    <t>TRANSFORM_IV Avviso</t>
  </si>
  <si>
    <t>R.I.S.I.CO._IV Avviso</t>
  </si>
  <si>
    <t>ECOLE - ENTI CONFINDUSTRIALI LOMBARDI PER L'EDUCATION</t>
  </si>
  <si>
    <t>UNIVA Servizi</t>
  </si>
  <si>
    <t>WBE COVID_IV Avviso</t>
  </si>
  <si>
    <t>IDEA-RE S.R.L.</t>
  </si>
  <si>
    <t>DESy_IV Avviso</t>
  </si>
  <si>
    <t>DISTRETTO TURISTICO DEI LAGHI</t>
  </si>
  <si>
    <t>AGENZIA DI ACCOGLIENZA E PROMOZIONE
TURISTICA LOCALE DELLA PROVINCIA DI NOVARAAGENZIA DI ACCOGLIENZA E PROMOZIONE
TURISTICA LOCALE DELLA PROVINCIA DI NOVARA</t>
  </si>
  <si>
    <t>Provincia del Verbano Cusio Ossola</t>
  </si>
  <si>
    <t>FUTURE_IV Avviso</t>
  </si>
  <si>
    <t>PROMOS SOCIETA' COOPERATIVA</t>
  </si>
  <si>
    <t>EASYGOV SOLUTIONS S.r.l.</t>
  </si>
  <si>
    <t>APFELSTRUDEL S.r.l.</t>
  </si>
  <si>
    <t>EMME &amp; ERRE S.r.l.</t>
  </si>
  <si>
    <t>ViVi 2.0_IV Avviso</t>
  </si>
  <si>
    <t>COMUNITA' MONTANA DELLA VALCHIAVENNA</t>
  </si>
  <si>
    <t>MONTAGNE DEL LAGO DI COMO</t>
  </si>
  <si>
    <t>CONSORZIO PER LA PROMOZIONE TURISTICA DELLA VALCHIAVENNA</t>
  </si>
  <si>
    <t>SKIALP@GSB_IV Avviso</t>
  </si>
  <si>
    <t>Asse 2</t>
  </si>
  <si>
    <t>SCOPRI</t>
  </si>
  <si>
    <t>Comune di San Fedele Intelvi - ora Comune Centro Valle Intelvi (CAPOFILA IT)</t>
  </si>
  <si>
    <t xml:space="preserve">Comunità Montana Lario Intelvese </t>
  </si>
  <si>
    <t>Università degli Studi di Milano</t>
  </si>
  <si>
    <t>SONO</t>
  </si>
  <si>
    <t>Fondation Grand Paradis (CAPOFILA IT)</t>
  </si>
  <si>
    <t>Comune di Rhêmes-Saint-Georges</t>
  </si>
  <si>
    <t>Comune di Saint-Marcel</t>
  </si>
  <si>
    <t>Comune di Cogne</t>
  </si>
  <si>
    <t>Comune di Introd</t>
  </si>
  <si>
    <t>Comune di Aymavilles</t>
  </si>
  <si>
    <t>VOCATE</t>
  </si>
  <si>
    <t>Provincia di Lecco (CAPOFILA IT)</t>
  </si>
  <si>
    <t>Comunità Montana Valsassina Valvarrone Val d'Esino e Riviera</t>
  </si>
  <si>
    <t>Fondazione Luigi Clerici</t>
  </si>
  <si>
    <t>Fondazione "Monastero Santa Maria del Lavello"</t>
  </si>
  <si>
    <t>SHARESALMO</t>
  </si>
  <si>
    <t>PARCO LOMBARDO DELLA VALLE DEL TICINO - Lonate Pozzolo (Varese)</t>
  </si>
  <si>
    <t>G.R.A.I.A. SRL GESTIONE E RICERCA AMBIENTALE ITTICA ACQUE - Varano Borghi (Varese)</t>
  </si>
  <si>
    <t>Società Valsesiana Pescatori Sportivi A.S.D. - Varallo (Vercelli)</t>
  </si>
  <si>
    <t>UNIONE MONTANA DEI COMUNI DELLA VALSESIA - Varallo (Vercelli)</t>
  </si>
  <si>
    <t>TERRE DEL SESIA SOCIETA' CONSORTILE A RESPONSABILITA' LIMITATA - Varallo (Vercelli)</t>
  </si>
  <si>
    <t>CNR- Istituto di ricerca sulle acque IRSA - Verbania (VCO)</t>
  </si>
  <si>
    <t>LAGHI &amp; MONTI BIKE</t>
  </si>
  <si>
    <t>Unione Montana Alta Ossola (Crodo - VCO)</t>
  </si>
  <si>
    <t xml:space="preserve"> DISTRETTO TURISTICO DEI LAGHI - SOCIETA' CONSORTILE A RESPONSABILITA' LIMITATA (Verbania - VCO)</t>
  </si>
  <si>
    <t>BICIPELOACQUA</t>
  </si>
  <si>
    <t>AGENZIA DI ACCOGLIENZA E PROMOZIONE TURISTICA LOCALE DELLA  PROVINCIA DI NOVARA</t>
  </si>
  <si>
    <t>Regione Piemonte - Direzione Promozione della Cultura, Turismo e Sport</t>
  </si>
  <si>
    <t>Provincia di Novara - Servizi europei area vasta, Settore Affari Generali</t>
  </si>
  <si>
    <t>Camera di Commercio,  Industria, Artigianato e Agricoltura Monte Rosa Laghi Alto Piemonte</t>
  </si>
  <si>
    <t>Comune di Novara - Assessorato al Turismo</t>
  </si>
  <si>
    <t>ENTE DI GESTIONE DELLE AREE PROTETTE DEL TICINO E DEL LAGO MAGGIORE (Cameri - NO)</t>
  </si>
  <si>
    <t>RESERVAQUA</t>
  </si>
  <si>
    <t>Regione Autonoma Valle d'Aosta -  Dipartimento programmazione, risorse idriche e territorio - Struttura attività geologiche e politiche regionali di sviluppo rurale</t>
  </si>
  <si>
    <t>Fondazione Montagna sicura - Montagne sûre (VdA)</t>
  </si>
  <si>
    <t>Agenzia regionale per la protezione dell'ambiente della Valle d'Aosta</t>
  </si>
  <si>
    <t>Arpa Piemonte - S.S. Monitoraggi e Studi Geologici</t>
  </si>
  <si>
    <t>Politecnico di Torino - Dipartimento di Ingegneria dell'Ambiente, del Territorio e delle Infrastrutture (TO)</t>
  </si>
  <si>
    <t>GE.RI.KO. MERA</t>
  </si>
  <si>
    <t xml:space="preserve"> COMUNITA MONTANA VALCHIAVENNA (SO)</t>
  </si>
  <si>
    <t>GE.RI.KO. MERA</t>
    <phoneticPr fontId="0" type="noConversion"/>
  </si>
  <si>
    <t>Regione Lombardia - DG Territorio e Protezione civile (MI) ed Ufficio Territoriale  Regionale Montagna (SO)</t>
  </si>
  <si>
    <t xml:space="preserve">Università degli Studi di Milano - Dipartimento di Scienze e Politiche Ambientali DESP (MI) </t>
  </si>
  <si>
    <t>Politecnico di Milano sede Lecco - Dip. DICA, Sezione Scienze e Ingegneria dell’Acqua SIA</t>
  </si>
  <si>
    <t>Università degli Studi dell'Insubria (VA)- Dipartimento di Scienza e Alta Tecnologia</t>
  </si>
  <si>
    <t>Riserva Naturale Pian di Spagna Lago di Mezzola (CO)</t>
  </si>
  <si>
    <t>UNIONE PESCA SPORTIVA DELLA PROVINCIA DI SONDRIO</t>
  </si>
  <si>
    <t>BLU PROGETTI - S.R.L. - Varese</t>
  </si>
  <si>
    <t>MINERALP</t>
  </si>
  <si>
    <t>Regione Autonoma Valle d'Aosta - Soprintendenza per i beni e le attività culturali</t>
  </si>
  <si>
    <t>PARCO NATURALE MONT AVIC (Champdepraz - VDA)</t>
  </si>
  <si>
    <t>Unione Montana dei Comuni della Valsesia (Varallo - VC)</t>
  </si>
  <si>
    <t>Ente di gestione delle aree protette dell'Ossola (Varzo - VCO)</t>
  </si>
  <si>
    <t>SOCIETA' DI MUTUO SOCCORSO FRA GLI OPERAI DI BROSSO (Brosso - TO)</t>
  </si>
  <si>
    <t>GRANITI E MARMI DI BAVENO S.R.L. (Baveno - VCO)</t>
  </si>
  <si>
    <t>PARCHI VERBANO TICINO</t>
  </si>
  <si>
    <t>Università degli Studi dell'Insubria (VA) - Dipartimento di Scienza e Alta Tecnologia</t>
  </si>
  <si>
    <t>CNR - Istituto di ricerca sulle acque IRSA- Verbania  (VCO)</t>
  </si>
  <si>
    <t>Riserva Naturale Pian di Spagna Lago di Mezzola - Sonico (CO)</t>
  </si>
  <si>
    <t>PARCO LOMBARDO DELLA VALLE DEL TICINO - U.O. 4 – TERRITORIO, URBANISTICA E SITI NATURA 2000 - Lonate Pozzolo (VA)</t>
  </si>
  <si>
    <t>Consorzio del Ticino - Golasecca (VA)</t>
  </si>
  <si>
    <t>FIUME TRESA</t>
  </si>
  <si>
    <t>AIPO- Agenzia Interregionale fiume Po - sede Milano</t>
  </si>
  <si>
    <t xml:space="preserve">Provincia di Varese </t>
  </si>
  <si>
    <t>COMUNITA MONTANA DEL PIAMBELLO (VA)</t>
  </si>
  <si>
    <t>Saastal Valle Anzasca Bike</t>
  </si>
  <si>
    <t>Comune di Macugnaga (VCO)</t>
  </si>
  <si>
    <t>INSUBRI PARKS</t>
  </si>
  <si>
    <t>Parco Regionale Spina Verde - Cavallasca (Como)</t>
  </si>
  <si>
    <t>ENTE PARCO REGIONALE CAMPO DEI FIORI - Brinzio (Varese)</t>
  </si>
  <si>
    <t>PARCO DELLA PINETA DI APPIANO GENTILE E TRADATE - Castelnuovo Bozzente (Como)</t>
  </si>
  <si>
    <t>Ass. Pro Val Mulini Onlus - Ronago (Como)</t>
  </si>
  <si>
    <t>Politecnico di Milano - Polo di Como (Como)</t>
  </si>
  <si>
    <t>MIMonVE</t>
  </si>
  <si>
    <t>UNITE' DES COMMUNES VALDÔTAINES GRAND-COMBIN (Gignod - VdA)</t>
  </si>
  <si>
    <t>Regione Autonoma Valle d'Aosta - Struttura attività estrattive, rifiuti e tutela delle acque</t>
  </si>
  <si>
    <t>Comune di Ollomont (VdA)</t>
  </si>
  <si>
    <t>Comune di Valpelline (VdA)</t>
  </si>
  <si>
    <t>E-BIKE</t>
  </si>
  <si>
    <t>Regione Lombardia - Direzione Sport e Politiche per i giovani</t>
  </si>
  <si>
    <t>Regione Piemonte - Direzione promozione della Cultura, del Turismo e dello Sport</t>
  </si>
  <si>
    <t>ASSOCIAZIONE FORTE DI BARD  - Valle d'Aosta</t>
  </si>
  <si>
    <t>AZIENDA DI PROMOZIONE E SVILUPPO TURISTICO DI LIVIGNO S.R.L. (A.P.T. S.R.L.) - Livigno (Sondrio)</t>
  </si>
  <si>
    <t>Ente Regionale per i Servizi all'Agricoltura e alle Foreste - ERSAF (Sondrio)</t>
  </si>
  <si>
    <t>Università degli Studi di Milano - Dipartimento di Scienze e Politiche Ambientali (DESP), Chiavenna (Sondrio)</t>
  </si>
  <si>
    <t>MAIN10ANCE</t>
  </si>
  <si>
    <t xml:space="preserve">Università del Piemonte Orientale, Vercelli (VC) </t>
  </si>
  <si>
    <t>Regione Piemonte, Torino (TO)</t>
  </si>
  <si>
    <t>Ente di Gestione dei Sacri Monti, Varallo (VC)</t>
  </si>
  <si>
    <t>Politecnico di Torino (TO)</t>
  </si>
  <si>
    <t>Centro per la Conservazione ed il Restauro dei Beni Culturali "La Venaria Reale", Venaria (TO)</t>
  </si>
  <si>
    <t>CONFARTIGIANATO IMPRESE PIEMONTE ORIENTALE, Novara (NO)</t>
  </si>
  <si>
    <t>MONGEFITOFOR</t>
  </si>
  <si>
    <t>Regione Autonoma Valle d'Aosta - Dipartimento Corpo forestale della Valle d'Aosta e risorse naturali</t>
  </si>
  <si>
    <t>Università degli Studi di Torino - Dipartimento di Scienze Agrarie, Forestali e Alimentari - DISAFA (TO)</t>
  </si>
  <si>
    <t>A.M.A.L.P.I 18</t>
  </si>
  <si>
    <t>Comunità montana VALCHIAVENNA (SO)</t>
  </si>
  <si>
    <t>Associazione Italo Svizzera per gli Scavi di Piuro (SO)</t>
  </si>
  <si>
    <t>FONDAZIONE POLITECNICO DI MILANO - Area progetti e innovazione (MI)</t>
  </si>
  <si>
    <t>Università degli Studi di Milano  Bicocca - Dipartimento di Scienze dell'Ambiente e della Terra (MI)</t>
  </si>
  <si>
    <t>Comune PIURO (SO)</t>
  </si>
  <si>
    <t>Politecnico di Milano - Polo territoriale di Lecco (LC)</t>
  </si>
  <si>
    <t>Regione Lombardia - DG Sicurezza, Protezione Civile e Immigrazione / U.O. Sistema Integrato di Prevenzione</t>
  </si>
  <si>
    <t>Università degli Studi di Milano - Dipartimento di Scienze della Terra / Stazione Valchiavenna per lo Studio dell'Ambiente Alpino (MI)</t>
  </si>
  <si>
    <t>MARKS</t>
  </si>
  <si>
    <t>CONSORZIO FORESTALE LARIO INTELVESE (CENTRO VALLE INTELVI - CO)</t>
  </si>
  <si>
    <t>LANZO D'INTELVI 1868 S.R.L. (Sondrio)</t>
  </si>
  <si>
    <t>Associazione per la protezione del patrimonio artistico e culturale Valle Intelvi - APPACUVI (Laino - CO)</t>
  </si>
  <si>
    <t>ERSAF - Sviluppo Territoriale Lombardia Ovest - Sede Territoriale di Lecco (LC)</t>
  </si>
  <si>
    <t>Comune ARGEGNO (CO)</t>
  </si>
  <si>
    <t>Comune SCHIGNANO (CO)</t>
  </si>
  <si>
    <t>ENTE VILLA CARLOTTA (Tremezzina - CO)</t>
  </si>
  <si>
    <t>Comune CLAINO CON OSTENO (CO)</t>
  </si>
  <si>
    <t>B-ICE</t>
  </si>
  <si>
    <t>U.C. DELLA VALMALENCO (Chiesa in Valmalenco - SO)</t>
  </si>
  <si>
    <t>CONSORZIO TURISTICO DEL MANDAMENTO DI SONDRIO (SO)</t>
  </si>
  <si>
    <t>Comune CHIESA IN VALMALENCO (SO)</t>
  </si>
  <si>
    <t>Comune LANZADA (SO)</t>
  </si>
  <si>
    <t>Comune TORRE DI SANTA MARIA (SO)</t>
  </si>
  <si>
    <t>Università degli Studi di Milano - Dipartimento scienze famaceutiche - DISFARM (MI)</t>
  </si>
  <si>
    <t>Comune CASPOGGIO (SO)</t>
  </si>
  <si>
    <t>Comune SPRIANA (SO)</t>
  </si>
  <si>
    <t>ACQUA CERESIO</t>
  </si>
  <si>
    <t>Provincia di Varese - Area 4 - Ambiente e Territorio</t>
  </si>
  <si>
    <t>ALFA S.R.L. - Gallarate (VA)</t>
  </si>
  <si>
    <t>PAES.CH.IT</t>
  </si>
  <si>
    <t>UNIONE MONTANA VALLE VIGEZZO (S. Maria Maggiore - VCO)</t>
  </si>
  <si>
    <t>SOCIETA' SUBALPINA DI IMPRESE FERROVIARIE S.P.A. (Domodossola - VCO)</t>
  </si>
  <si>
    <t>Unione del Lago Maggiore (Cannobio - VCO)</t>
  </si>
  <si>
    <t>Comune di Domodossola (VCO)</t>
  </si>
  <si>
    <t>InTERRACED</t>
  </si>
  <si>
    <t>Ente per la Gestione del Parco Regionale di Montevecchia e della Valle del Curone, Montevecchia (LC)</t>
  </si>
  <si>
    <t>Ente di gestione delle aree protette dell'Ossola, Varzo (VCO)</t>
  </si>
  <si>
    <t>CONSORZIO FORESTALE LARIO INTELVESE, CENTRO VALLE INTELVI (Como)</t>
  </si>
  <si>
    <t>PARCO MONTE BARRO (LC)</t>
  </si>
  <si>
    <t xml:space="preserve">FONDAZIONE FOJANINI DI STUDI SUPERIORI AZIENDA AGRICOLA, Sondrio (SO) </t>
  </si>
  <si>
    <t>CERVIM, Aymavilles (AO)</t>
  </si>
  <si>
    <t>ENTE PARCO NAZIONALE VAL GRANDE, Vogogna (VCO)</t>
  </si>
  <si>
    <t xml:space="preserve">SPLUGA 2.0 </t>
  </si>
  <si>
    <t>Comune MADESIMO (SO)</t>
  </si>
  <si>
    <t>Comune di SAN GIACOMO FILIPPO (SO)</t>
  </si>
  <si>
    <t>Comune CAMPODOLCINO (SO)</t>
  </si>
  <si>
    <t>Comune CHIAVENNA (SO)</t>
  </si>
  <si>
    <t>CONSORZIO DELLE FRAZIONI CORTI ED ACERO (Campodolcino - SO)</t>
  </si>
  <si>
    <t>TREK +</t>
  </si>
  <si>
    <t>Comune di Valtournenche (VdA)</t>
  </si>
  <si>
    <t>ASTRONETILO</t>
  </si>
  <si>
    <t>COMUNE DI SORMANO (CO)</t>
  </si>
  <si>
    <t>Politecnico di Milano, sede di Lecco (LC)</t>
  </si>
  <si>
    <t>Università degli Studi dell'Insubria, Varese (VA)</t>
  </si>
  <si>
    <t>Gruppo Astrofili Brianza, Sormano (CO)</t>
  </si>
  <si>
    <t>Gruppo amici del cielo, Barzago (CO)</t>
  </si>
  <si>
    <t>FRIGERIO VIAGGI SRL, Giussano (MB)</t>
  </si>
  <si>
    <t>IDROGEA SERVIZI S.R.L.SOCIETA' DI INGEGNERIA, Varese (VA)</t>
  </si>
  <si>
    <t>Società astronomica "G. V. Schiaparelli", Varese (VA)</t>
  </si>
  <si>
    <t>CON VALORE</t>
  </si>
  <si>
    <t>Comune di TIRANO (SO)</t>
  </si>
  <si>
    <t>Comune di SERNIO (SO)</t>
  </si>
  <si>
    <t>Politecnico di Milano (MI)</t>
  </si>
  <si>
    <t>Università degli Studi di Milano (MI)</t>
  </si>
  <si>
    <t>CONSORZIO TURISTICO MEDIA VALTELLINA, Tirano (SO)</t>
  </si>
  <si>
    <t>INTRECCI SOCIETA' COOPERATIVA SOCIALE (SO)</t>
  </si>
  <si>
    <t>Direzione regionale Musei
Lombardia (MI)</t>
  </si>
  <si>
    <t>ASSOCIAZIONE SAN ROMERIO TIRANO (SO)</t>
  </si>
  <si>
    <t>MUSEO DIFFUSO MSG</t>
  </si>
  <si>
    <t>Comunità montana DEL PIAMBELLO - Arcisate (Varese)</t>
  </si>
  <si>
    <t>COMUNE DI BESANO (Varese)</t>
  </si>
  <si>
    <t>COMUNE DI CLIVIO (Varese)</t>
  </si>
  <si>
    <t>COMUNE DI PORTO CERESIO (Varese)</t>
  </si>
  <si>
    <t>COMUNE DI SALTRIO (Varese)</t>
  </si>
  <si>
    <t>COMUNE DI VIGGIU' (Varese)</t>
  </si>
  <si>
    <t>COMUNE DI VARESE (Varese)</t>
  </si>
  <si>
    <t>XPERIALPS</t>
  </si>
  <si>
    <t>Comune di BUGLIO IN MONTE (Sondrio)</t>
  </si>
  <si>
    <t>Comune di ARDENNO (Sondrio)</t>
  </si>
  <si>
    <t>Comune di TRAONA (Sondrio)</t>
  </si>
  <si>
    <t>Comunità montana VALCHIAVENNA - Chiavenna (Sondrio)</t>
  </si>
  <si>
    <t>S.T.P.S. SOCIETA' TRASPORTI PUBBLICI SONDRIO S.P.A. (Sondrio)</t>
  </si>
  <si>
    <t>NORATECH S.R.L. - Morbegno (Sondrio)</t>
  </si>
  <si>
    <t>DISTRETTO AGROALIMENTARE DI QUALITA' DELLA VALTELLINA SOCIETA' CONSORTILE A R.L. OPPURE: DISTRETTO AGROALIMENTARE DI QUALITA' DELLA VALTELLINA S.C. A R.L. - VALTELLINA CHE GUSTO! (Sondrio)</t>
  </si>
  <si>
    <t>DI - SE</t>
  </si>
  <si>
    <t>ASSOCIAZIONE MUSEI D'OSSOLA (Crevoladossola - VCO)</t>
  </si>
  <si>
    <t>Associazione Culturale Asilo Bianco (Ameno - NO)</t>
  </si>
  <si>
    <t>MULM</t>
  </si>
  <si>
    <t>CONSORZIO DI BONIFICA EST TICINO - VILLORESI (Varese)</t>
  </si>
  <si>
    <t>FONDAZIONE MUSEO NAZIONALE DELLA SCIENZA E DELLA TECNOLOGIA "L. DA VINCI" (Milano)</t>
  </si>
  <si>
    <t>FONDAZIONE MUSEO AGUSTA (Samarate - VA)</t>
  </si>
  <si>
    <t>FONDAZIONE MUSEO DEL CICLISMO MADONNA DEL GHISALLO (Magreglio - CO)</t>
  </si>
  <si>
    <t>LE ROGGE S.R.L. (Ornavasso - VCO)</t>
  </si>
  <si>
    <t>Comune OLGIATE OLONA (VA)</t>
  </si>
  <si>
    <t>ENTE PARCO NAZIONALE VAL GRANDE (Cossogno - VCO)</t>
  </si>
  <si>
    <t>Associazione Italo Svizzera per gli Scavi di Piuro</t>
  </si>
  <si>
    <t>paes.ch.it_IV Avviso</t>
  </si>
  <si>
    <t>UNIONE MONTANA VALLE VIGEZZO</t>
  </si>
  <si>
    <t>SOCIETA' SUBALPINA DI IMPRESE FERROVIARIE S.P.A.</t>
  </si>
  <si>
    <t>MAIN10ANCE_IV Avviso</t>
  </si>
  <si>
    <t>Ente di Gestione dei Sacri Monti</t>
  </si>
  <si>
    <t>Politecnico di Torino</t>
  </si>
  <si>
    <t>Centro per la Conservazione ed il Restauro dei Beni Culturali "La Venaria Reale"</t>
  </si>
  <si>
    <t>CONFARTIGIANATO IMPRESE PIEMONTE ORIENTALE</t>
  </si>
  <si>
    <t>RESERVAQUA_IV Avviso</t>
  </si>
  <si>
    <t>Regione Autonoma Valle d'Aosta</t>
  </si>
  <si>
    <t>Fondazione Montagna sicura - Montagne sûre</t>
  </si>
  <si>
    <t>Arpa Piemonte</t>
  </si>
  <si>
    <t>E-BIKE_IV Avviso</t>
  </si>
  <si>
    <t>Regione Lombardia</t>
  </si>
  <si>
    <t>Associazione Forte di Bard</t>
  </si>
  <si>
    <t>Azienda di promozione e sviluppo turistico di Livigno srl</t>
  </si>
  <si>
    <t>Ente Regionale per i Servizi all'Agricoltura e alle Foreste - ERSAF</t>
  </si>
  <si>
    <t>B-ICE_IV Avviso</t>
  </si>
  <si>
    <t>Unione dei Comuni della Valmalenco</t>
  </si>
  <si>
    <t>Consorzio turistico del Mandamento di Sondrio</t>
  </si>
  <si>
    <t>Comune di Chiesa in Valmalenco</t>
  </si>
  <si>
    <t>Comune di Lanzada</t>
  </si>
  <si>
    <t>Comune di Torre di Santa Maria</t>
  </si>
  <si>
    <t>Università degli studi di Milano</t>
  </si>
  <si>
    <t>Comune di Caspoggio</t>
  </si>
  <si>
    <t>Comune di Spriana</t>
  </si>
  <si>
    <t>MULM_IV Avviso</t>
  </si>
  <si>
    <t>CONSORZIO DI BONIFICA EST TICINO - VILLORESI</t>
  </si>
  <si>
    <t>FONDAZIONE MUSEO NAZIONALE DELLA SCIENZA E DELLA TECNOLOGIA "L. DA VINCI"</t>
  </si>
  <si>
    <t>FONDAZIONE MUSEO AGUSTA</t>
  </si>
  <si>
    <t>FONDAZIONE MUSEO DEL CICLISMO MADONNA DEL GHISALLO</t>
  </si>
  <si>
    <t>BICIPELOACQUA_IV Avviso</t>
  </si>
  <si>
    <t>Regione Piemonte</t>
  </si>
  <si>
    <t>Provincia di Novara</t>
  </si>
  <si>
    <t>Camera di Commercio Monte Rosa Laghi Alto Piemonte</t>
  </si>
  <si>
    <t>Comune di Novara</t>
  </si>
  <si>
    <t>Ente di gestione delle Aree Protette del Ticino e del Lago Maggiore</t>
  </si>
  <si>
    <t>Distretto Turistico dei laghi Scrl</t>
  </si>
  <si>
    <t>LAGHI &amp; MONTI BIKE_IV Avviso</t>
  </si>
  <si>
    <t>UNIONE DEI COMUNI DELLE VALLI ANTIGORIO DIVEDRO FORMAZZA</t>
  </si>
  <si>
    <t>VoCaTe_IV Avviso</t>
  </si>
  <si>
    <t>Di-Se_IV Avviso</t>
  </si>
  <si>
    <t>Associazione Musei Ossola</t>
  </si>
  <si>
    <t>Fiume Tresa_IV Avviso</t>
  </si>
  <si>
    <t>Agenzia Interregionale fiume Po</t>
  </si>
  <si>
    <t>Sharesalmo_IV avviso</t>
  </si>
  <si>
    <t>PARCO LOMBARDO DELLA VALLE DEL TICINO</t>
  </si>
  <si>
    <t>G.R.A.I.A. Srl</t>
  </si>
  <si>
    <t>Terre del Sesia Scrl</t>
  </si>
  <si>
    <t>CNR Istituto di Ricerca sulle Acque</t>
  </si>
  <si>
    <t>Saastal Valle Anzasca Bike_IV Avviso</t>
  </si>
  <si>
    <t>Comune di Macugnaga</t>
  </si>
  <si>
    <t>INSUBRI.PARKS_IV avviso</t>
  </si>
  <si>
    <t>Parco Regionale Spina Verde</t>
  </si>
  <si>
    <t>Ente Parco Regionale Campo dei Fiori</t>
  </si>
  <si>
    <t>Parco della Pineta di Appiano Gentile e Tradate</t>
  </si>
  <si>
    <t>Asse 3</t>
  </si>
  <si>
    <t>TI-CICLO-VIA</t>
  </si>
  <si>
    <t>Provincia di Varese (VA)</t>
  </si>
  <si>
    <t>Comune di Varese (VA)</t>
  </si>
  <si>
    <t>Comune di Valmorea (CO)</t>
  </si>
  <si>
    <t xml:space="preserve">Comune di Malnate (VA) </t>
  </si>
  <si>
    <t>Omni-BUS 4.0</t>
  </si>
  <si>
    <t>Secondo</t>
  </si>
  <si>
    <t>Provincia di Sondrio, Direzione Trasporti</t>
  </si>
  <si>
    <t>Agenzia per il trasporto pubblico locale del bacino di Sondrio - Sondrio</t>
  </si>
  <si>
    <t>Regione Lombardia, Direzione Infrastrutture, Trasporti e Mobilità sostenibile - Milano</t>
  </si>
  <si>
    <t>Comune di Livigno - Livigno (SO)</t>
  </si>
  <si>
    <t>SMISTO</t>
  </si>
  <si>
    <t>Regione Lombardia - DG INFRASTRUTTURE, TRASPORTI E MOBILITA' SOSTENIBILE
( Milano)</t>
  </si>
  <si>
    <t>Gestione Governativa Navigazione Laghi
(Como)</t>
  </si>
  <si>
    <t>Agenzia del trasporto pubblico del bacino di Como, Lecco e Varese
(Como)</t>
  </si>
  <si>
    <t>MENTOR</t>
  </si>
  <si>
    <t>Comune di Merano
(BZ)</t>
  </si>
  <si>
    <t>NOI S.p.A.
(Bolzano)</t>
  </si>
  <si>
    <t>SASA (Società Autobus Servizi d'Area)
(Bolzano)</t>
  </si>
  <si>
    <t>Ge.T.R.I.</t>
  </si>
  <si>
    <t>Provincia di Varese
Area 4 Ambiente e Territorio
(Varese)</t>
  </si>
  <si>
    <t>Università Carlo Cattaneo - LIUC
Centro di Ricerca sulle operations, logistica e supply chain management 
Castellanza (VA)</t>
  </si>
  <si>
    <t>Regione Lombardia - DG AMBIENTE E CLIMA (Milano)</t>
  </si>
  <si>
    <t>ARS AMBIENTE S.R.L.
Gallarate (VA)</t>
  </si>
  <si>
    <t>PROVINCIA DI COMO
Settore Ecologia ed Ambiente  
(Como)</t>
  </si>
  <si>
    <t>SMART BORDER</t>
  </si>
  <si>
    <t>Comune di Luino (VA)</t>
  </si>
  <si>
    <t>MOBSTER</t>
  </si>
  <si>
    <t>V.C.O. TRASPORTI SRL (Verbania)</t>
  </si>
  <si>
    <t xml:space="preserve">Comune di Verbania
6° Dipartimento-Servizi Pubblici Locali </t>
  </si>
  <si>
    <t>TVA</t>
  </si>
  <si>
    <t xml:space="preserve">Regione Piemonte - DG TRASPORTI
(Torino) </t>
  </si>
  <si>
    <t xml:space="preserve">AMP- Agenzia della Mobilità Piemontese (Torino)
</t>
  </si>
  <si>
    <t>SLOWMOVE</t>
  </si>
  <si>
    <t>CONSORZIO DI BONIFICA EST TICINO - VILLORESI (Milano)</t>
  </si>
  <si>
    <t>ENTE DI GESTIONE DELLE AREE PROTETTE DEL TICINO E DEL LAGO MAGGIORE - Arona (NO)</t>
  </si>
  <si>
    <t>ASSE 3</t>
  </si>
  <si>
    <t>Regione Lombardia - DG INFRASTRUTTURE, TRASPORTI E MOBILITA' SOSTENIBILE - Milano</t>
  </si>
  <si>
    <t>PARCO LOMBARDO DELLA VALLE DEL TICINO - Magenta (MI)</t>
  </si>
  <si>
    <t>Regione Piemonte - DG AMBIENTE, GOVERNO E TUTELA DEL TERRITORIO (Torino)</t>
  </si>
  <si>
    <t>Comune di Castelletto Sopra Ticino -(Novara)</t>
  </si>
  <si>
    <t>LIVELINESS</t>
  </si>
  <si>
    <t>Comune di Sondrio</t>
  </si>
  <si>
    <t>Comunità Montana Valtellina di Sondrio - Sondrio</t>
  </si>
  <si>
    <t>E-VAI S.r.l. - Como</t>
  </si>
  <si>
    <t>Fondazione Politecnico di Milano - Milano</t>
  </si>
  <si>
    <t>Politecnico di Milano - Lecco</t>
  </si>
  <si>
    <t>ANCI Lombardia, Dipartimento Europa-Cooperazione Internazionale - Milano</t>
  </si>
  <si>
    <t>UN, DUE, TRESA</t>
  </si>
  <si>
    <t>Comune di Lavena Ponte Tresa (VA)</t>
  </si>
  <si>
    <t>SMART BORDER_IV Avviso</t>
  </si>
  <si>
    <t>MOBSTER_IV Avviso</t>
  </si>
  <si>
    <t>V.C.O. TRASPORTI SRL</t>
  </si>
  <si>
    <t>TI-CICLO-VIA_IV Avviso</t>
  </si>
  <si>
    <t>Provincia di Varese</t>
  </si>
  <si>
    <t>Ge.T.R.I._IV Avviso</t>
  </si>
  <si>
    <t>Provincia di Varese (non partecipante)</t>
  </si>
  <si>
    <t>ARS AMBIENTE S.R.L.</t>
  </si>
  <si>
    <t>UN, DUE, TRESA_IV Avviso</t>
  </si>
  <si>
    <t>Asse 4</t>
  </si>
  <si>
    <t>WelComTech</t>
  </si>
  <si>
    <t>Regione Piemonte (CAPOFILA IT)</t>
  </si>
  <si>
    <t>Fondazione Istituto Sacra Famiglia Onlus</t>
  </si>
  <si>
    <t>RSA Massimo Lagostina ONLUS</t>
  </si>
  <si>
    <t>Fondazione Opera Pia Dr. Domenico Uccelli Onlus</t>
  </si>
  <si>
    <t>Università Cattolica del Sacro Cuore</t>
  </si>
  <si>
    <t>Comune di Domodossola</t>
  </si>
  <si>
    <t>Binario 9 e 3/4</t>
  </si>
  <si>
    <t>Fondazione Circolo dei lettori - (Novara)</t>
  </si>
  <si>
    <t>SCUOLA - COMUNITA' – IMPRESA - (Novara)</t>
  </si>
  <si>
    <t>Associazione Next Level - 
(Torino)</t>
  </si>
  <si>
    <t>Comunità di Sant Egidio Piemonte Onlus - (Novara)</t>
  </si>
  <si>
    <t xml:space="preserve">Comune di Novara </t>
  </si>
  <si>
    <t>IncluDi</t>
  </si>
  <si>
    <t>Comune di Gallarate (VA)</t>
  </si>
  <si>
    <t>Università Cattolica del Sacro Cuore - (Milano)</t>
  </si>
  <si>
    <t>ANFFAS LOMBARDIA ONLUS -
 (Milano)</t>
  </si>
  <si>
    <t>Azienda Socio Sanitaria Territoriale della Valle Olona  - Gallarate (VA)</t>
  </si>
  <si>
    <t>BrainArt</t>
  </si>
  <si>
    <t>Centro Ricerca Arte Musica Spettacolo Società Cooperativa Sociale - CRAMS -- (Lecco)</t>
  </si>
  <si>
    <t>ATS della BRIANZA - 
(Lecco)</t>
  </si>
  <si>
    <t>Need Institute - 
(Milano)</t>
  </si>
  <si>
    <t>Sanita' a confronto</t>
  </si>
  <si>
    <t>Comunità Montana Valchiavenna - Chiavenna (SO)</t>
  </si>
  <si>
    <t>YI - Young Inclusion</t>
  </si>
  <si>
    <t>Cooperativa Sociale SIM-PATIA - Società Cooperativa (Como)</t>
  </si>
  <si>
    <t>Il Sentiero Società Cooperativa Sociale - (Lecco)</t>
  </si>
  <si>
    <t>La clessidra società cooperativa sociale  - Castellanza (VA)</t>
  </si>
  <si>
    <t>Comune di Castellanza (VA)</t>
  </si>
  <si>
    <t>Comune di Seregno (MB)</t>
  </si>
  <si>
    <t>Ariella Vidach – AIEP - (Milano)</t>
  </si>
  <si>
    <t>Ospedale San Raffaele s.r.l.  - (Milano)</t>
  </si>
  <si>
    <t>Comune di Monza (MB)</t>
  </si>
  <si>
    <t>D.E.A.</t>
  </si>
  <si>
    <t>Università del Piemonte Orientale - (Novara)</t>
  </si>
  <si>
    <t>IUSEFor  - (Novara)</t>
  </si>
  <si>
    <t>OLTRE LE QUINTE A.P.S. - (Novara)</t>
  </si>
  <si>
    <t>Associazione Didee - arti e comunicazione - (Torino)</t>
  </si>
  <si>
    <t>FONDAZIONE NUOVO TEATRO FARAGGIANA - (Novara)</t>
  </si>
  <si>
    <t>RAGGIO DI SOLE</t>
  </si>
  <si>
    <t xml:space="preserve">Comunità comprensoriale Val Venosta - (Bolzano) </t>
  </si>
  <si>
    <t>WAW</t>
  </si>
  <si>
    <t>Emmaus Cooperativa Sociale - O.N.L.U.S. - Novara</t>
  </si>
  <si>
    <t>Istituto per la Ricerca Sociale Società Cooperativa - Milano</t>
  </si>
  <si>
    <t xml:space="preserve">Comune di Monza (MB) </t>
  </si>
  <si>
    <t>Formazione Inserimento Lavorativo Orientamento Servizi Società Cooperativa - Novara</t>
  </si>
  <si>
    <t>Università Cattolica del Sacro Cuore - Milano</t>
  </si>
  <si>
    <t>InterACTIVE-HD 2.0</t>
  </si>
  <si>
    <t>Politecnico di Milano - Polo Territoriale di Lecco</t>
  </si>
  <si>
    <t>Azienda Socio Sanitaria Territoriale della Valtellina e dell'Alto Lario - Sondrio</t>
  </si>
  <si>
    <t>ASST dei Sette Laghi - Varese</t>
  </si>
  <si>
    <t>Azienda Socio-Sanitaria Territoriale (ASST) Lariana - Como</t>
  </si>
  <si>
    <t>C4C - City for Care</t>
  </si>
  <si>
    <t>CRAMS (Centro ricerca arte musica spettacolo società cooperativa) – Lecco</t>
  </si>
  <si>
    <t xml:space="preserve">Azienda Socio Sanitaria Territoriale di Lecco </t>
  </si>
  <si>
    <t>Università degli Studi di Pavia - Pavia</t>
  </si>
  <si>
    <t>Agenzia di Tutela della Salute della Brianza - Lecco</t>
  </si>
  <si>
    <t>AUTISMO</t>
  </si>
  <si>
    <t>Fondazione Bellora O.N.L.U.S. - Gallarate (VA)</t>
  </si>
  <si>
    <t>IESCUM S.r.l. Impresa Sociale - Milano</t>
  </si>
  <si>
    <t>Azienda Socio Sanitaria Territoriale della Valle Olona - Busto Arsizio (VA)</t>
  </si>
  <si>
    <t>REACTION</t>
  </si>
  <si>
    <t>Università del Piemonte Orientale - Vercelli</t>
  </si>
  <si>
    <t>Azienda Sanitaria Locale Vercelli</t>
  </si>
  <si>
    <t>Azienda Sanitaria Locale Novara</t>
  </si>
  <si>
    <t>Università degli Studi di Torino - Torino</t>
  </si>
  <si>
    <t>ACCORDIAMOCI</t>
  </si>
  <si>
    <t>Fondazione Casa di Riposo Città di Chiavenna O.N.L.U.S. - Chiavenna (SO)</t>
  </si>
  <si>
    <t>Comune di Piuro (SO)</t>
  </si>
  <si>
    <t>INCLUDI</t>
  </si>
  <si>
    <t>Comune di Gallarate</t>
  </si>
  <si>
    <t>Fondazione Bellora Onlus</t>
  </si>
  <si>
    <t>ASST Valle Olona</t>
  </si>
  <si>
    <t>Coop. Soc. SIM-PATIA</t>
  </si>
  <si>
    <t>ASST Lecco</t>
  </si>
  <si>
    <t>ATS Brianza</t>
  </si>
  <si>
    <t>Emmaus Coop Sociale</t>
  </si>
  <si>
    <t>Raggio di sole</t>
  </si>
  <si>
    <t>Comunità Comprensoriale della Val Venosta</t>
  </si>
  <si>
    <t>Fondazione Circolo dei Lettori</t>
  </si>
  <si>
    <t>CSCI (SCUOLA - COMUNITA' – IMPRESA)</t>
  </si>
  <si>
    <t>Associazione Next Level</t>
  </si>
  <si>
    <t>Università di Torino</t>
  </si>
  <si>
    <t>Accordiamoci</t>
  </si>
  <si>
    <t>Fondazione Casa di Riposo Città di Chiavenna Onlus</t>
  </si>
  <si>
    <t>Comunità Montana della Valchiavenna</t>
  </si>
  <si>
    <t>ASST della Valtellina e dell’Alto Lario</t>
  </si>
  <si>
    <t>Pallium</t>
  </si>
  <si>
    <t>CIME</t>
  </si>
  <si>
    <t>Azienda USL Valle d’Aosta</t>
  </si>
  <si>
    <t>Fondazione Montagna sicura - Montagne sûre (AO)</t>
  </si>
  <si>
    <t>PALLIUM</t>
  </si>
  <si>
    <t>LA BITTA Società Cooperativa Sociale Onlus (VCO)</t>
  </si>
  <si>
    <t>EMISFERA Società Cooperativa (VCO)</t>
  </si>
  <si>
    <t>Fondazione Comunitaria del VCO (VCO)</t>
  </si>
  <si>
    <t>ASL del VCO</t>
  </si>
  <si>
    <t>TRIALS</t>
  </si>
  <si>
    <t>Politecnico di Milano (sede di lecco)</t>
  </si>
  <si>
    <t>Istituto Auxologico Italiano</t>
  </si>
  <si>
    <t>D.E.A._IV Avviso</t>
  </si>
  <si>
    <t>IUSEFor</t>
  </si>
  <si>
    <t>OLTRE LE QUINTE A.P.S.</t>
  </si>
  <si>
    <t>Associazione Didee - arti e comunicazione</t>
  </si>
  <si>
    <t>FONDAZIONE NUOVO TEATRO FARAGGIANA</t>
  </si>
  <si>
    <t>AUTISMO_IV Avviso</t>
  </si>
  <si>
    <t>FONDAZIONE BELLORA O.N.L.U.S.</t>
  </si>
  <si>
    <t>Azienda Socio Sanitaria Territoriale della Valle Olona</t>
  </si>
  <si>
    <t>IncluDi_IV Avviso</t>
  </si>
  <si>
    <t>InterACTIVE-HD 2.0_IV Avviso</t>
  </si>
  <si>
    <t>Fondazione Politecnico di Milano</t>
  </si>
  <si>
    <t>Binario 9 e 3/4_IV Avviso</t>
  </si>
  <si>
    <t>Scuola Comunità Impresa</t>
  </si>
  <si>
    <t>REACTION_IV Avviso</t>
  </si>
  <si>
    <t>ASL Vercelli</t>
  </si>
  <si>
    <t>Università degli Studi di Torino</t>
  </si>
  <si>
    <t>Pallium_IV Avviso</t>
  </si>
  <si>
    <t>La Bitta Soc. Coop. Onlus</t>
  </si>
  <si>
    <t>Emisfera Soc. Coop.</t>
  </si>
  <si>
    <t>WAW_IV avviso</t>
  </si>
  <si>
    <t>Il Sentiero Società cooperativa sociale</t>
  </si>
  <si>
    <t>La Clessidra Società cooperativa sociale</t>
  </si>
  <si>
    <t>YI_IV Avviso</t>
  </si>
  <si>
    <t>COOPERATIVA SOCIALE SIM-PATIA - SOCIETA' COOPERATIVA</t>
  </si>
  <si>
    <t>BrainArt_IV Avviso</t>
  </si>
  <si>
    <t>CENTRO RICERCA ARTE MUSICA SPETTACOLO SOCIETA' COOPERATIVA SOCIALE -  CRAMS</t>
  </si>
  <si>
    <t>C4C - City for Care_IV Avviso</t>
  </si>
  <si>
    <t>Asse 5</t>
  </si>
  <si>
    <t>MINPLUS</t>
  </si>
  <si>
    <t>Consorzio Intercomunale Servizi Sociali Ossola - Domodossola (VCO)</t>
  </si>
  <si>
    <t xml:space="preserve">Formazione inserimento lavorativo orientamento servizi società cooperativa - (Novara) </t>
  </si>
  <si>
    <t>Regione Piemonte - DG Coesione sociale (Torino)</t>
  </si>
  <si>
    <t>Centro di ricerca e documentazione Luigi Einaudi - (Torino)</t>
  </si>
  <si>
    <t>Integra società cooperativa sociale - (Novara)</t>
  </si>
  <si>
    <t>GovernaTI-VA</t>
  </si>
  <si>
    <t>Anci Lombardia - (Milano)</t>
  </si>
  <si>
    <t>SICt</t>
  </si>
  <si>
    <t>Regione Lombardia - DG Territorio e Protezione Civile</t>
  </si>
  <si>
    <t>Politecnico di Milano - (sede di Lecco)</t>
  </si>
  <si>
    <t>STICH</t>
  </si>
  <si>
    <t>Eupolis Lombardia Istituto superiore per la ricerca, la statistica e la formazione - (Milano)</t>
  </si>
  <si>
    <t>Università Carlo Cattaneo LIUC -
 Castellanza (VA)</t>
  </si>
  <si>
    <t>Camera di Commercio Industria Artigianato Agricoltura di Varese (VA)</t>
  </si>
  <si>
    <t>UNIONCAMERE LOMBARDIA - (Milano)</t>
  </si>
  <si>
    <t>GESTISCO</t>
  </si>
  <si>
    <t>Arpa Piemonte - (Torino)</t>
  </si>
  <si>
    <t>Comune di Como (CO)</t>
  </si>
  <si>
    <t>GIOCOnDa</t>
  </si>
  <si>
    <t>Politecnico di Milano - (sede di Como)</t>
  </si>
  <si>
    <t>Varese web srl (Varese)</t>
  </si>
  <si>
    <t>Fondazione Bruno Kessler - (Trento)</t>
  </si>
  <si>
    <t>Provincia di Brescia</t>
  </si>
  <si>
    <t xml:space="preserve">Regione Lombardia - DG Presidenza - Programmazione e Relazioni esterne - 
Struttura Semplificazione e trasformazione digitale) </t>
  </si>
  <si>
    <t>SIMILE</t>
  </si>
  <si>
    <t>Regione Lombardia - DG Ambiente e Clima</t>
  </si>
  <si>
    <t>RiCoNET</t>
  </si>
  <si>
    <t>IUSEFor - Novara</t>
  </si>
  <si>
    <t>Comune di Biella</t>
  </si>
  <si>
    <t>TERRA</t>
  </si>
  <si>
    <t>Comune di Merano - (BZ)</t>
  </si>
  <si>
    <t>S.T.A.G.E</t>
  </si>
  <si>
    <t>Fondazione per la formazione professionale turistica - Aosta</t>
  </si>
  <si>
    <t>Living ICH</t>
  </si>
  <si>
    <t xml:space="preserve">Regione Autonoma Valle d'Aosta, Struttura Ufficio regionale etnologia e linguistica e Archivio Storico - Aosta </t>
  </si>
  <si>
    <t>Regione Lombardia, Direzione Generale Autonomia e Cultura - Milano</t>
  </si>
  <si>
    <t>Riconet</t>
  </si>
  <si>
    <t>GIOCONDA</t>
  </si>
  <si>
    <t>EASYGOV SOLUTIONS S.R.L.</t>
  </si>
  <si>
    <t>Fondazione Bruno Kessler</t>
  </si>
  <si>
    <t>Comune di Como</t>
  </si>
  <si>
    <t>CISS Ossola</t>
  </si>
  <si>
    <t>LIVING ICH</t>
  </si>
  <si>
    <t>Regione Valle D'Aosta</t>
  </si>
  <si>
    <t>SIMILE_IV Avviso</t>
  </si>
  <si>
    <t>MINPLUS_IV Avviso</t>
  </si>
  <si>
    <t>CONSORZIO INTERCOMUNALE SERVIZI SOCIALI OSSOLA</t>
  </si>
  <si>
    <t>FORMAZIONE INSERIMENTO LAVORATIVO ORIENTAMENTO SERVIZI SOCIETA'COOPERATIVA</t>
  </si>
  <si>
    <t>INTEGRA SOCIETA' COOPERATIVA SOCIALE</t>
  </si>
  <si>
    <t>GESTISCO_IV Avviso</t>
  </si>
  <si>
    <t>Regione Lombardia Direzione Generale Territorio e Protezione Civile</t>
  </si>
  <si>
    <t>Politecnico di Milano- POLO TERRITORIALE DI LECCO</t>
  </si>
  <si>
    <t>Comune di Como, SETTORE POLIZIA LOCALE, PROTEZIONE CIVILE</t>
  </si>
  <si>
    <t>TERRA_IV Avviso</t>
  </si>
  <si>
    <t>Comune di Merano</t>
  </si>
  <si>
    <t>SICT_IV Avviso</t>
  </si>
  <si>
    <t>GovernaTI-VA_IV Avviso</t>
  </si>
  <si>
    <t>ANCI LOMBARDIA</t>
  </si>
  <si>
    <t>Pallium_IV Avviso_23</t>
  </si>
  <si>
    <t>quarto_23</t>
  </si>
  <si>
    <t>4569803</t>
  </si>
  <si>
    <t>LA BITTA SOCIETA' COOPERATIVA SOCIALE ONLUS</t>
  </si>
  <si>
    <t>FONDAZIONE COMUNITARIA DEL VCO</t>
  </si>
  <si>
    <t>SKIALP@GSB_IV Avviso_23</t>
  </si>
  <si>
    <t>ENTE DI GESTIONE DELLE AREE PROTETTE DEL TICINO E DEL LAGO MAGGIORE  -  Cameri (NO)</t>
  </si>
  <si>
    <t>Comunità Montana LARIOINTELVESE (CO)</t>
  </si>
  <si>
    <t>Comunità Montana VALCHIAVENNA (SO)</t>
  </si>
  <si>
    <t>NEOGY S.r.l. già ALPERIA SMART MOBILITY SRL - ALPERIA SMART MOBILITY GMBH</t>
  </si>
  <si>
    <t xml:space="preserve">DMO Piemonte Scrl (Torino)
</t>
  </si>
  <si>
    <t>Azienda Socio Sanitaria Territoriale della Valtellina e dell'Alto Lario - 
(Sondrio)</t>
  </si>
  <si>
    <t>Comunità montana VALCHIAVENNA</t>
  </si>
  <si>
    <t>Comune di PIURO</t>
  </si>
  <si>
    <t>Comune di LUINO</t>
  </si>
  <si>
    <t>Università Carlo Cattaneo - LIUC</t>
  </si>
  <si>
    <t xml:space="preserve">Camera di Commercio Industria Artigianato Agricoltura di Varese </t>
  </si>
  <si>
    <t>Università Carlo Cattaneo LIUC</t>
  </si>
  <si>
    <t>Comune di Varese</t>
  </si>
  <si>
    <t>Associazione Culturale Asilo Bianco</t>
  </si>
  <si>
    <t>Quota di aumento di contributo pubblico ulteriormente riconoscibile alla conclusione dei controlli di I livello</t>
  </si>
  <si>
    <t>Quota di aumento budget ulteriormente riconoscibile alla conclusione dei controlli di I livello</t>
  </si>
  <si>
    <t>AVVISO</t>
  </si>
  <si>
    <t>ID PROGETTO</t>
  </si>
  <si>
    <t>BENEFICIARIO</t>
  </si>
  <si>
    <t>CAR MASTER</t>
  </si>
  <si>
    <t>CAR</t>
  </si>
  <si>
    <t>COR</t>
  </si>
  <si>
    <t>COVAR</t>
  </si>
  <si>
    <t>DI CUI QUOTA FESR</t>
  </si>
  <si>
    <t>% (intensità di contributo)</t>
  </si>
  <si>
    <t>n.p.</t>
  </si>
  <si>
    <t>SMART STRATEGIE</t>
  </si>
  <si>
    <t>581752
1042539</t>
  </si>
  <si>
    <t>619088
863519</t>
  </si>
  <si>
    <t>716483
9356128</t>
  </si>
  <si>
    <t>581792
4645124</t>
  </si>
  <si>
    <t>581795
680500</t>
  </si>
  <si>
    <t xml:space="preserve">9355189	</t>
  </si>
  <si>
    <t>A.M.AL.PI.18_IV Avviso</t>
  </si>
  <si>
    <t>DI CUI OVERBOOKING</t>
  </si>
  <si>
    <t>DI CUI COFINANZIAMENTO NAZIONALE</t>
  </si>
  <si>
    <t>906726
1075950</t>
  </si>
  <si>
    <t>Comune di Saint-Rhémy-en-Bosses</t>
  </si>
  <si>
    <t>PMI NETWORK_IV Avviso_2023</t>
  </si>
  <si>
    <t>A.M.AL.PI.18_IV Avviso_2023</t>
  </si>
  <si>
    <t>VALCHIAVENNA</t>
  </si>
  <si>
    <t>PIURO</t>
  </si>
  <si>
    <t>MARKS_IV Avviso</t>
  </si>
  <si>
    <t>Comunità Montana LARIOINTELVESE</t>
  </si>
  <si>
    <t>Associazione per la protezione del patrimonio artistico e
culturale Valle Intelvi - APPACUVI</t>
  </si>
  <si>
    <t>Ente Regionale per i Servizi all'Agricoltura e alle Foreste
- ERSAF</t>
  </si>
  <si>
    <t>Comune di ARGEGNO</t>
  </si>
  <si>
    <t>Comune di SCHIGNANO</t>
  </si>
  <si>
    <t>Comune di CLAINO CON OSTENO</t>
  </si>
  <si>
    <t>Programma di cooperazione Interreg V-A Italia-Svizzera 2014 - 2020
 Elenco dei beneficiari italiani dei progetti e MAC approvati a valere sul Primo, Secondo, Terzo e Quarto Avviso aggiornato alla data del 19 luglio 2023</t>
  </si>
  <si>
    <t>Montagne del Lago di Como –  Crandola Valsassina (LC)</t>
  </si>
  <si>
    <t>North Lake Como Associazione Turismo e Commercio Alto Lago di Como – Colico (LC)</t>
  </si>
  <si>
    <t>Comunità Montana della VALCHIAVENNA</t>
  </si>
  <si>
    <t>Binario 9 e 3/4_IV Avviso_23</t>
  </si>
  <si>
    <t>BrainArt_IV Avviso_23</t>
  </si>
  <si>
    <t>TYPICALP_IV Avviso_23</t>
  </si>
  <si>
    <t>RESERVAQUA_IV Avviso_23</t>
  </si>
  <si>
    <t>C4C - City for Care_IV Avviso_23</t>
  </si>
  <si>
    <t>MAIN10ANCE_IV Avviso_23</t>
  </si>
  <si>
    <t>4847716</t>
  </si>
  <si>
    <t>4872635</t>
  </si>
  <si>
    <t>LE ROGGE S.R.L.</t>
  </si>
  <si>
    <t>CRAMS</t>
  </si>
  <si>
    <t>Need Institute</t>
  </si>
  <si>
    <t>CENTRO RICERCA ARTE MUSICA SPETTACOLO SOCIETA' COOPERATIVA SOCIAL IN MODO ABBREVIATO CRAMS</t>
  </si>
  <si>
    <t>Azienda Socio Sanitaria Territoriale di Lecco</t>
  </si>
  <si>
    <t>Agenzia di Tutela della Salute della Brianza</t>
  </si>
  <si>
    <t>MULM_IV Avviso_23</t>
  </si>
  <si>
    <t>R.I.S.I.CO._IV Avviso_2023</t>
  </si>
  <si>
    <t xml:space="preserve">964163
1123398	</t>
  </si>
  <si>
    <t>543758
1128861</t>
  </si>
  <si>
    <t>Asse prioritario</t>
  </si>
  <si>
    <t>Fondo</t>
  </si>
  <si>
    <t>Base di calcolo del sostegno dell'Unione</t>
  </si>
  <si>
    <t>Sostegno dell'Unione (a)</t>
  </si>
  <si>
    <t>Contropartita nazionale (b) = (c) + (d)</t>
  </si>
  <si>
    <t>Finanziamento pubblico nazionale (c)</t>
  </si>
  <si>
    <t>Finanziamento privato nazionale (d)</t>
  </si>
  <si>
    <t>Finanziamento totale (e) = (a) + (b) o (a) + (c)</t>
  </si>
  <si>
    <t>Tasso di cofinanziamento (f) = (a)/(e)</t>
  </si>
  <si>
    <t>FESR</t>
  </si>
  <si>
    <t>Totale</t>
  </si>
  <si>
    <t>Totale generale</t>
  </si>
  <si>
    <t>122.452,43 €</t>
  </si>
  <si>
    <t>0,00 €</t>
  </si>
  <si>
    <t>21.089,58 €</t>
  </si>
  <si>
    <t>6.721,86 €</t>
  </si>
  <si>
    <t>78.167,53 €</t>
  </si>
  <si>
    <t>56.012,85 €</t>
  </si>
  <si>
    <t>176.303,74 €</t>
  </si>
  <si>
    <t>76.340,52 €</t>
  </si>
  <si>
    <t>46.814,15 €</t>
  </si>
  <si>
    <t>86.348,30 €</t>
  </si>
  <si>
    <t>76.825,43 €</t>
  </si>
  <si>
    <t>166.395,87 €</t>
  </si>
  <si>
    <t>61.273,57 €</t>
  </si>
  <si>
    <t>79.862,81 €</t>
  </si>
  <si>
    <t>36.601,23 €</t>
  </si>
  <si>
    <t>30.773,90 €</t>
  </si>
  <si>
    <t>31.719,34 €</t>
  </si>
  <si>
    <t>6.721,86 </t>
  </si>
  <si>
    <t>61.856,77 </t>
  </si>
  <si>
    <t>46.997,87 </t>
  </si>
  <si>
    <t>155.320,99 </t>
  </si>
  <si>
    <t>67.340,46 </t>
  </si>
  <si>
    <t>35.470,63 </t>
  </si>
  <si>
    <t>85.083,30 </t>
  </si>
  <si>
    <t>72.532,18 </t>
  </si>
  <si>
    <t>130.671,77 </t>
  </si>
  <si>
    <t>59.962,57 </t>
  </si>
  <si>
    <t>21.115,79 </t>
  </si>
  <si>
    <t>29.076,50 </t>
  </si>
  <si>
    <t>11.049,34 </t>
  </si>
  <si>
    <t>53.308,00 </t>
  </si>
  <si>
    <t>1116668
1201335</t>
  </si>
  <si>
    <t>1075425
1208951</t>
  </si>
  <si>
    <t xml:space="preserve">716590
17614154 aiuto cancellato
20486688	</t>
  </si>
  <si>
    <t>Programma di cooperazione Interreg V-A Italia-Svizzera 2014 - 2020
 Elenco dei beneficiari italiani dei progetti e MAC approvati a valere sul Primo, Secondo, Terzo e Quarto Avviso aggiornato al 23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</si>
</sst>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410]General"/>
    <numFmt numFmtId="165" formatCode="dd/mm/yyyy&quot; &quot;h&quot;.&quot;mm"/>
    <numFmt numFmtId="166" formatCode="_-[$€-2]\ * #,##0.00_-;\-[$€-2]\ * #,##0.00_-;_-[$€-2]\ * &quot;-&quot;??_-;_-@_-"/>
    <numFmt numFmtId="167" formatCode="0.00000000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F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0F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D3D4D5"/>
      </right>
      <top/>
      <bottom/>
      <diagonal/>
    </border>
    <border>
      <left/>
      <right style="medium">
        <color rgb="FFC2C3C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4" fillId="0" borderId="0" applyBorder="0" applyProtection="0"/>
    <xf numFmtId="164" fontId="13" fillId="0" borderId="0" applyBorder="0" applyProtection="0"/>
    <xf numFmtId="0" fontId="1" fillId="0" borderId="0"/>
  </cellStyleXfs>
  <cellXfs count="13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0" fontId="0" fillId="2" borderId="1" xfId="1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0" fillId="0" borderId="1" xfId="1" applyNumberFormat="1" applyFont="1" applyFill="1" applyBorder="1" applyAlignment="1" applyProtection="1">
      <alignment horizontal="center" vertical="center"/>
    </xf>
    <xf numFmtId="164" fontId="8" fillId="0" borderId="5" xfId="4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64" fontId="4" fillId="0" borderId="4" xfId="4" applyBorder="1" applyAlignment="1" applyProtection="1">
      <alignment horizontal="center" vertical="center" wrapText="1"/>
    </xf>
    <xf numFmtId="164" fontId="4" fillId="0" borderId="3" xfId="4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7" xfId="4" applyBorder="1" applyAlignment="1" applyProtection="1">
      <alignment horizontal="center" vertical="center" wrapText="1"/>
    </xf>
    <xf numFmtId="164" fontId="4" fillId="0" borderId="6" xfId="4" applyBorder="1" applyAlignment="1" applyProtection="1">
      <alignment horizontal="center" vertical="center" wrapText="1"/>
    </xf>
    <xf numFmtId="164" fontId="4" fillId="0" borderId="10" xfId="4" applyBorder="1" applyAlignment="1" applyProtection="1">
      <alignment horizontal="center" vertical="center" wrapText="1"/>
    </xf>
    <xf numFmtId="164" fontId="4" fillId="0" borderId="9" xfId="4" applyBorder="1" applyAlignment="1" applyProtection="1">
      <alignment horizontal="center" vertical="center" wrapText="1"/>
    </xf>
    <xf numFmtId="164" fontId="4" fillId="0" borderId="11" xfId="4" applyBorder="1" applyAlignment="1" applyProtection="1">
      <alignment horizontal="center" vertical="center" wrapText="1"/>
    </xf>
    <xf numFmtId="164" fontId="4" fillId="0" borderId="12" xfId="4" applyBorder="1" applyAlignment="1" applyProtection="1">
      <alignment horizontal="center" vertical="center" wrapText="1"/>
    </xf>
    <xf numFmtId="164" fontId="8" fillId="0" borderId="4" xfId="4" applyFont="1" applyBorder="1" applyAlignment="1" applyProtection="1">
      <alignment horizontal="center" vertical="center" wrapText="1"/>
    </xf>
    <xf numFmtId="164" fontId="8" fillId="0" borderId="8" xfId="4" applyFont="1" applyBorder="1" applyAlignment="1" applyProtection="1">
      <alignment horizontal="center" vertical="center" wrapText="1"/>
    </xf>
    <xf numFmtId="165" fontId="4" fillId="0" borderId="3" xfId="4" applyNumberFormat="1" applyBorder="1" applyAlignment="1" applyProtection="1">
      <alignment horizontal="center" vertical="center" wrapText="1"/>
    </xf>
    <xf numFmtId="164" fontId="8" fillId="0" borderId="3" xfId="4" applyFont="1" applyBorder="1" applyAlignment="1" applyProtection="1">
      <alignment horizontal="center" vertical="center" wrapText="1"/>
    </xf>
    <xf numFmtId="164" fontId="4" fillId="0" borderId="1" xfId="4" applyBorder="1" applyAlignment="1" applyProtection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1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2" borderId="13" xfId="3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3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8" fillId="0" borderId="3" xfId="4" applyFont="1" applyBorder="1" applyAlignment="1" applyProtection="1">
      <alignment horizontal="left" vertical="center" wrapText="1"/>
    </xf>
    <xf numFmtId="164" fontId="4" fillId="0" borderId="3" xfId="4" applyBorder="1" applyAlignment="1" applyProtection="1">
      <alignment horizontal="left" vertical="center" wrapText="1"/>
    </xf>
    <xf numFmtId="164" fontId="4" fillId="0" borderId="6" xfId="4" applyBorder="1" applyAlignment="1" applyProtection="1">
      <alignment horizontal="left" vertical="center" wrapText="1"/>
    </xf>
    <xf numFmtId="164" fontId="4" fillId="0" borderId="9" xfId="4" applyBorder="1" applyAlignment="1" applyProtection="1">
      <alignment horizontal="left" vertical="center" wrapText="1"/>
    </xf>
    <xf numFmtId="164" fontId="4" fillId="0" borderId="12" xfId="4" applyBorder="1" applyAlignment="1" applyProtection="1">
      <alignment horizontal="left" vertical="center" wrapText="1"/>
    </xf>
    <xf numFmtId="164" fontId="8" fillId="0" borderId="6" xfId="4" applyFont="1" applyBorder="1" applyAlignment="1" applyProtection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64" fontId="8" fillId="0" borderId="1" xfId="4" applyFont="1" applyBorder="1" applyAlignment="1" applyProtection="1">
      <alignment horizontal="center" vertical="center" wrapText="1"/>
    </xf>
    <xf numFmtId="166" fontId="5" fillId="3" borderId="1" xfId="2" applyNumberFormat="1" applyFont="1" applyFill="1" applyBorder="1" applyAlignment="1" applyProtection="1">
      <alignment horizontal="center" vertical="center" wrapText="1"/>
    </xf>
    <xf numFmtId="166" fontId="6" fillId="2" borderId="2" xfId="3" applyNumberFormat="1" applyFont="1" applyFill="1" applyBorder="1" applyAlignment="1">
      <alignment horizontal="center" vertical="center" wrapText="1"/>
    </xf>
    <xf numFmtId="166" fontId="0" fillId="2" borderId="1" xfId="2" applyNumberFormat="1" applyFont="1" applyFill="1" applyBorder="1" applyAlignment="1" applyProtection="1">
      <alignment horizontal="center" vertical="center"/>
    </xf>
    <xf numFmtId="166" fontId="0" fillId="2" borderId="1" xfId="0" applyNumberForma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 applyProtection="1">
      <alignment horizontal="center" vertical="center"/>
    </xf>
    <xf numFmtId="166" fontId="0" fillId="2" borderId="1" xfId="2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 applyProtection="1">
      <alignment horizontal="center" vertical="center"/>
    </xf>
    <xf numFmtId="166" fontId="6" fillId="2" borderId="1" xfId="2" applyNumberFormat="1" applyFont="1" applyFill="1" applyBorder="1" applyAlignment="1" applyProtection="1">
      <alignment horizontal="center" vertical="center"/>
      <protection locked="0"/>
    </xf>
    <xf numFmtId="166" fontId="0" fillId="0" borderId="1" xfId="2" applyNumberFormat="1" applyFont="1" applyFill="1" applyBorder="1" applyAlignment="1" applyProtection="1">
      <alignment horizontal="center" vertical="center"/>
    </xf>
    <xf numFmtId="166" fontId="0" fillId="0" borderId="1" xfId="2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6" fillId="0" borderId="1" xfId="3" applyNumberFormat="1" applyFont="1" applyBorder="1" applyAlignment="1">
      <alignment horizontal="center" vertical="center" wrapText="1"/>
    </xf>
    <xf numFmtId="166" fontId="6" fillId="0" borderId="2" xfId="3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5" fillId="3" borderId="1" xfId="1" applyNumberFormat="1" applyFont="1" applyFill="1" applyBorder="1" applyAlignment="1" applyProtection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166" fontId="0" fillId="2" borderId="0" xfId="0" applyNumberFormat="1" applyFill="1"/>
    <xf numFmtId="166" fontId="0" fillId="0" borderId="1" xfId="0" applyNumberFormat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4" borderId="2" xfId="3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166" fontId="0" fillId="6" borderId="1" xfId="0" applyNumberFormat="1" applyFill="1" applyBorder="1" applyAlignment="1" applyProtection="1">
      <alignment horizontal="center" vertical="center"/>
      <protection locked="0"/>
    </xf>
    <xf numFmtId="166" fontId="0" fillId="2" borderId="0" xfId="0" applyNumberFormat="1" applyFill="1" applyAlignment="1">
      <alignment vertical="center"/>
    </xf>
    <xf numFmtId="166" fontId="1" fillId="0" borderId="1" xfId="2" applyNumberFormat="1" applyFont="1" applyFill="1" applyBorder="1" applyAlignment="1" applyProtection="1">
      <alignment horizontal="center" vertical="center"/>
    </xf>
    <xf numFmtId="166" fontId="1" fillId="0" borderId="1" xfId="2" applyNumberFormat="1" applyFont="1" applyFill="1" applyBorder="1" applyAlignment="1" applyProtection="1">
      <alignment horizontal="center" vertical="center"/>
      <protection locked="0"/>
    </xf>
    <xf numFmtId="10" fontId="1" fillId="0" borderId="1" xfId="1" applyNumberFormat="1" applyFont="1" applyFill="1" applyBorder="1" applyAlignment="1" applyProtection="1">
      <alignment horizontal="center" vertical="center"/>
    </xf>
    <xf numFmtId="166" fontId="6" fillId="0" borderId="1" xfId="2" applyNumberFormat="1" applyFont="1" applyFill="1" applyBorder="1" applyAlignment="1" applyProtection="1">
      <alignment horizontal="center" vertical="center"/>
    </xf>
    <xf numFmtId="0" fontId="16" fillId="7" borderId="14" xfId="6" applyFont="1" applyFill="1" applyBorder="1" applyAlignment="1">
      <alignment vertical="center" wrapText="1"/>
    </xf>
    <xf numFmtId="0" fontId="16" fillId="7" borderId="14" xfId="6" applyFont="1" applyFill="1" applyBorder="1" applyAlignment="1">
      <alignment horizontal="right" vertical="center" wrapText="1"/>
    </xf>
    <xf numFmtId="0" fontId="1" fillId="0" borderId="0" xfId="6"/>
    <xf numFmtId="0" fontId="17" fillId="8" borderId="15" xfId="6" applyFont="1" applyFill="1" applyBorder="1" applyAlignment="1">
      <alignment horizontal="left" vertical="center" wrapText="1"/>
    </xf>
    <xf numFmtId="4" fontId="17" fillId="8" borderId="15" xfId="6" applyNumberFormat="1" applyFont="1" applyFill="1" applyBorder="1" applyAlignment="1">
      <alignment horizontal="right" vertical="center" wrapText="1"/>
    </xf>
    <xf numFmtId="4" fontId="18" fillId="8" borderId="15" xfId="6" applyNumberFormat="1" applyFont="1" applyFill="1" applyBorder="1" applyAlignment="1">
      <alignment horizontal="right" vertical="center" wrapText="1"/>
    </xf>
    <xf numFmtId="167" fontId="17" fillId="8" borderId="15" xfId="6" applyNumberFormat="1" applyFont="1" applyFill="1" applyBorder="1" applyAlignment="1">
      <alignment horizontal="right" vertical="center" wrapText="1"/>
    </xf>
    <xf numFmtId="0" fontId="17" fillId="9" borderId="15" xfId="6" applyFont="1" applyFill="1" applyBorder="1" applyAlignment="1">
      <alignment horizontal="left" vertical="center" wrapText="1"/>
    </xf>
    <xf numFmtId="4" fontId="17" fillId="9" borderId="15" xfId="6" applyNumberFormat="1" applyFont="1" applyFill="1" applyBorder="1" applyAlignment="1">
      <alignment horizontal="right" vertical="center" wrapText="1"/>
    </xf>
    <xf numFmtId="4" fontId="18" fillId="9" borderId="15" xfId="6" applyNumberFormat="1" applyFont="1" applyFill="1" applyBorder="1" applyAlignment="1">
      <alignment horizontal="right" vertical="center" wrapText="1"/>
    </xf>
    <xf numFmtId="167" fontId="17" fillId="9" borderId="15" xfId="6" applyNumberFormat="1" applyFont="1" applyFill="1" applyBorder="1" applyAlignment="1">
      <alignment horizontal="right" vertical="center" wrapText="1"/>
    </xf>
    <xf numFmtId="0" fontId="17" fillId="9" borderId="15" xfId="6" applyFont="1" applyFill="1" applyBorder="1" applyAlignment="1">
      <alignment horizontal="right" vertical="center" wrapText="1"/>
    </xf>
    <xf numFmtId="0" fontId="18" fillId="8" borderId="15" xfId="6" applyFont="1" applyFill="1" applyBorder="1" applyAlignment="1">
      <alignment horizontal="left" vertical="center" wrapText="1"/>
    </xf>
    <xf numFmtId="0" fontId="18" fillId="8" borderId="15" xfId="6" applyFont="1" applyFill="1" applyBorder="1" applyAlignment="1">
      <alignment vertical="top"/>
    </xf>
    <xf numFmtId="10" fontId="18" fillId="8" borderId="15" xfId="6" applyNumberFormat="1" applyFont="1" applyFill="1" applyBorder="1" applyAlignment="1">
      <alignment horizontal="right" vertical="center" wrapText="1"/>
    </xf>
    <xf numFmtId="0" fontId="16" fillId="0" borderId="16" xfId="6" applyFont="1" applyBorder="1" applyAlignment="1">
      <alignment vertical="center"/>
    </xf>
    <xf numFmtId="4" fontId="16" fillId="0" borderId="16" xfId="6" applyNumberFormat="1" applyFont="1" applyBorder="1" applyAlignment="1">
      <alignment horizontal="right" vertical="center"/>
    </xf>
    <xf numFmtId="10" fontId="16" fillId="0" borderId="16" xfId="6" applyNumberFormat="1" applyFont="1" applyBorder="1" applyAlignment="1">
      <alignment horizontal="right" vertical="center"/>
    </xf>
    <xf numFmtId="44" fontId="0" fillId="0" borderId="0" xfId="0" applyNumberFormat="1"/>
    <xf numFmtId="4" fontId="0" fillId="0" borderId="0" xfId="0" applyNumberFormat="1"/>
    <xf numFmtId="166" fontId="6" fillId="0" borderId="1" xfId="1" applyNumberFormat="1" applyFont="1" applyFill="1" applyBorder="1" applyAlignment="1" applyProtection="1">
      <alignment horizontal="center" vertical="center"/>
    </xf>
    <xf numFmtId="166" fontId="6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0" fontId="1" fillId="0" borderId="0" xfId="1" applyNumberFormat="1" applyFont="1" applyFill="1" applyAlignment="1">
      <alignment horizontal="center" vertical="center"/>
    </xf>
    <xf numFmtId="166" fontId="0" fillId="0" borderId="0" xfId="0" applyNumberFormat="1"/>
    <xf numFmtId="10" fontId="0" fillId="0" borderId="0" xfId="1" applyNumberFormat="1" applyFont="1" applyFill="1" applyAlignment="1">
      <alignment horizontal="center" vertical="center"/>
    </xf>
    <xf numFmtId="10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8" fillId="0" borderId="1" xfId="4" applyFont="1" applyBorder="1" applyAlignment="1" applyProtection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3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1" xfId="4" applyFont="1" applyBorder="1" applyAlignment="1">
      <alignment horizontal="center" vertical="center" wrapText="1"/>
    </xf>
    <xf numFmtId="164" fontId="19" fillId="0" borderId="1" xfId="5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4" fontId="15" fillId="0" borderId="1" xfId="5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64" fontId="4" fillId="0" borderId="1" xfId="4" applyBorder="1" applyAlignment="1" applyProtection="1">
      <alignment horizontal="left" vertical="center" wrapText="1"/>
    </xf>
    <xf numFmtId="165" fontId="4" fillId="0" borderId="1" xfId="4" applyNumberFormat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7">
    <cellStyle name="Excel Built-in Normal" xfId="4" xr:uid="{F44C47ED-2809-439D-8C77-9786C21E45B2}"/>
    <cellStyle name="Excel Built-in Normal 2" xfId="5" xr:uid="{FD67726A-D194-421F-8638-4E1BEC9B6945}"/>
    <cellStyle name="Normale" xfId="0" builtinId="0"/>
    <cellStyle name="Normale 2" xfId="3" xr:uid="{1FAE77FC-89AD-425A-8451-C2E81AD26950}"/>
    <cellStyle name="Normale 3" xfId="6" xr:uid="{9BDCB600-A5EA-4DB3-AB3E-BE74861A91BA}"/>
    <cellStyle name="Percentuale" xfId="1" builtinId="5"/>
    <cellStyle name="Valuta 5" xfId="2" xr:uid="{5FFF38AF-9C5D-4D30-9EC9-18BEB72E8DE2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Desktop/situazione%20al%2017-11-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DL/10_Projects/MoF/40_Work/10_Model/MoF_Financial_model_v17-9_MK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ONERI%20RETRIBUTIVI%20LORDI/PERSONALE%20TRASFERITO/PERSONALE%20TRASFERITO/DELEGHE%2031-12-2001/Deleghe-Form-conteggi%20Sardiel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File%20di%20monitoraggio%20finanziario%20IT%20CH/Prospetto%20target%20n+3%202020%20per%20dainott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File%20di%20monitoraggio%20finanziario%20IT%20CH/Situazione%20programma%20aggiornata%2018-03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Previsioni%20di%20spesa%20e%20monitoraggio%20dati%20finanziari/Report%20SIAGE%20avanzamento%20spesa/Report%20rendicontazioni%2014-04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Certificazioni%20INTERREG%2014-20/Certificazione%20dicembre%202019/Situazioni%20avanzamento%20spesa/Situazione%20al%202-12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Certificazioni%20INTERREG%2014-20/Certificazione%20dicembre%202019/Prospetto%20spese%20certificabili%2017_12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Previsioni%20di%20spesa%20e%20monitoraggio%20dati%20finanziari/Gennaio%202020/DB%20per%20realizzazione%20tabella%202%20con%20asse%206%20aggiornat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AppData/Local/Temp/Situazioni%20avanzamento%20spesa/Situazione%20al%209-12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na/Nextcloud/Certificazioni%20INTERREG%2014-20/Certificazione%20dicembre%202019/Situazioni%20avanzamento%20spesa/Situazione%20al%2011-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spetto"/>
      <sheetName val="DG GENERALE"/>
      <sheetName val="solo controlli finiti NO AIUTO"/>
      <sheetName val="solo controlli finiti AIUTO"/>
      <sheetName val="Operazioni asse 6 rendicontate"/>
      <sheetName val="PF IT rimodulato riprogrammato"/>
      <sheetName val="Convalida integraz"/>
      <sheetName val="Richieste integrazioni"/>
      <sheetName val="Presentata da controllare"/>
      <sheetName val="Solo presentate"/>
      <sheetName val="elenco controllori etsreni"/>
      <sheetName val="Foglio2"/>
    </sheetNames>
    <sheetDataSet>
      <sheetData sheetId="0" refreshError="1"/>
      <sheetData sheetId="1" refreshError="1"/>
      <sheetData sheetId="2"/>
      <sheetData sheetId="3">
        <row r="36">
          <cell r="X36">
            <v>497983.42536650348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1404572Associazione Italo Svizzera per gli Scavi di Piuro</v>
          </cell>
        </row>
        <row r="3">
          <cell r="A3" t="str">
            <v>1404572FONDAZIONE POLITECNICO DI MILANO</v>
          </cell>
        </row>
        <row r="4">
          <cell r="A4" t="str">
            <v>1404572Politecnico di Milano</v>
          </cell>
        </row>
        <row r="5">
          <cell r="A5" t="str">
            <v>1460822FONDAZIONE POLITECNICO DI MILANO</v>
          </cell>
        </row>
        <row r="6">
          <cell r="A6" t="str">
            <v>1446369ALFA S.R.L.</v>
          </cell>
        </row>
        <row r="7">
          <cell r="A7" t="str">
            <v>1282320DAYMED SRL</v>
          </cell>
        </row>
        <row r="8">
          <cell r="A8" t="str">
            <v>1282320APTSOL SOCIETA' A RESPONSABILITA' LIMITATA SEMPLIFICATA</v>
          </cell>
        </row>
        <row r="9">
          <cell r="A9" t="str">
            <v>1282320Università del Piemonte Orientale</v>
          </cell>
        </row>
        <row r="10">
          <cell r="A10" t="str">
            <v>1385474APTSOL SOCIETA' A RESPONSABILITA' LIMITATA SEMPLIFICATA</v>
          </cell>
        </row>
        <row r="11">
          <cell r="A11" t="str">
            <v>1385474Università del Piemonte Orientale</v>
          </cell>
        </row>
        <row r="12">
          <cell r="A12" t="str">
            <v>1389844SVILUPPO COMO - COMONEXT S.P.A.</v>
          </cell>
        </row>
        <row r="13">
          <cell r="A13" t="str">
            <v>1445261TTS TECHNOLOGY TRANSFER SYSTEM - S.R.L.</v>
          </cell>
        </row>
        <row r="14">
          <cell r="A14" t="str">
            <v>1207108FONDAZIONE NUOVO TEATRO FARAGGIANA</v>
          </cell>
        </row>
        <row r="15">
          <cell r="A15" t="str">
            <v>1452014FONDAZIONE NUOVO TEATRO FARAGGIANA</v>
          </cell>
        </row>
        <row r="16">
          <cell r="A16" t="str">
            <v>1452014Associazione Didee - arti e comunicazione</v>
          </cell>
        </row>
        <row r="17">
          <cell r="A17" t="str">
            <v>1452014OLTRE LE QUINTE A.P.S.</v>
          </cell>
        </row>
        <row r="18">
          <cell r="A18" t="str">
            <v>1452014IUSEFor</v>
          </cell>
        </row>
        <row r="19">
          <cell r="A19" t="str">
            <v>1452014Università del Piemonte Orientale</v>
          </cell>
        </row>
        <row r="20">
          <cell r="A20" t="str">
            <v>1395362ASSOCIATION REGIONALE ELEVEURS VALDOTAINS</v>
          </cell>
        </row>
        <row r="21">
          <cell r="A21" t="str">
            <v>1486183ASSOCIATION REGIONALE ELEVEURS VALDOTAINS</v>
          </cell>
        </row>
        <row r="22">
          <cell r="A22" t="str">
            <v>1520619ASSOCIATION REGIONALE ELEVEURS VALDOTAINS</v>
          </cell>
        </row>
        <row r="23">
          <cell r="A23" t="str">
            <v>1469166BLU PROGETTI - S.R.L.</v>
          </cell>
        </row>
        <row r="24">
          <cell r="A24" t="str">
            <v>1469166VALCHIAVENNA</v>
          </cell>
        </row>
        <row r="25">
          <cell r="A25" t="str">
            <v>1469166Politecnico di Milano</v>
          </cell>
        </row>
        <row r="26">
          <cell r="A26" t="str">
            <v>1397751Provincia di Varese</v>
          </cell>
        </row>
        <row r="27">
          <cell r="A27" t="str">
            <v>1397751PROVINCIA DI COMO</v>
          </cell>
        </row>
        <row r="28">
          <cell r="A28" t="str">
            <v>1397751ARS AMBIENTE S.R.L.</v>
          </cell>
        </row>
        <row r="29">
          <cell r="A29" t="str">
            <v>1397751UNIVERSITA ' CARLO CATTANEO - LIUC</v>
          </cell>
        </row>
        <row r="30">
          <cell r="A30" t="str">
            <v>1228019Regione Lombardia</v>
          </cell>
        </row>
        <row r="31">
          <cell r="A31" t="str">
            <v>1228032FONDAZIONE POLITECNICO DI MILANO</v>
          </cell>
        </row>
        <row r="32">
          <cell r="A32" t="str">
            <v>1404358COMO</v>
          </cell>
        </row>
        <row r="33">
          <cell r="A33" t="str">
            <v>1404379Politecnico di Milano</v>
          </cell>
        </row>
        <row r="34">
          <cell r="A34" t="str">
            <v>1261659GALLARATE</v>
          </cell>
        </row>
        <row r="35">
          <cell r="A35" t="str">
            <v>1408513GALLARATE</v>
          </cell>
        </row>
        <row r="36">
          <cell r="A36" t="str">
            <v>1411347GALLARATE</v>
          </cell>
        </row>
        <row r="37">
          <cell r="A37" t="str">
            <v>1411576GALLARATE</v>
          </cell>
        </row>
        <row r="38">
          <cell r="A38" t="str">
            <v>1411673GALLARATE</v>
          </cell>
        </row>
        <row r="39">
          <cell r="A39" t="str">
            <v>1475877Università Cattolica del Sacro Cuore</v>
          </cell>
        </row>
        <row r="40">
          <cell r="A40" t="str">
            <v>1161412"TECHNOSPRINGS ITALIA S.R.L."</v>
          </cell>
        </row>
        <row r="41">
          <cell r="A41" t="str">
            <v>1161412Consiglio Nazionale delle Ricerche</v>
          </cell>
        </row>
        <row r="42">
          <cell r="A42" t="str">
            <v>1405441"TECHNOSPRINGS ITALIA S.R.L."</v>
          </cell>
        </row>
        <row r="43">
          <cell r="A43" t="str">
            <v>1405441Consiglio Nazionale delle Ricerche</v>
          </cell>
        </row>
        <row r="44">
          <cell r="A44" t="str">
            <v>1493092Università degli Studi dell'Insubria</v>
          </cell>
        </row>
        <row r="45">
          <cell r="A45" t="str">
            <v>1451171Ente per la Gestione del Parco Regionale di Montevecchia e della Valle del Curone</v>
          </cell>
        </row>
        <row r="46">
          <cell r="A46" t="str">
            <v>1451171CONSORZIO FORESTALE LARIO INTELVESE</v>
          </cell>
        </row>
        <row r="47">
          <cell r="A47" t="str">
            <v>1451171PARCO MONTE BARRO</v>
          </cell>
        </row>
        <row r="48">
          <cell r="A48" t="str">
            <v>1450721UNIONE MONTANA ALTA OSSOLA</v>
          </cell>
        </row>
        <row r="49">
          <cell r="A49" t="str">
            <v>1383036Università degli Studi dell'Insubria</v>
          </cell>
        </row>
        <row r="50">
          <cell r="A50" t="str">
            <v>1383036Università del Piemonte Orientale</v>
          </cell>
        </row>
        <row r="51">
          <cell r="A51" t="str">
            <v>1461355ENTE VILLA CARLOTTA</v>
          </cell>
        </row>
        <row r="52">
          <cell r="A52" t="str">
            <v>1344345CENTRO DI RICERCA E DOCUMENTAZIONE LUIGI EINAUDI</v>
          </cell>
        </row>
        <row r="53">
          <cell r="A53" t="str">
            <v>1344345FORMAZIONE INSERIMENTO LAVORATIVO ORIENTAMENTO SERVIZI SOCIETA'COOPERATIVA</v>
          </cell>
        </row>
        <row r="54">
          <cell r="A54" t="str">
            <v>1344345CONSORZIO INTERCOMUNALE SERVIZI SOCIALI OSSOLA</v>
          </cell>
        </row>
        <row r="55">
          <cell r="A55" t="str">
            <v>1476521CONSORZIO INTERCOMUNALE SERVIZI SOCIALI OSSOLA</v>
          </cell>
        </row>
        <row r="56">
          <cell r="A56" t="str">
            <v>1476521FORMAZIONE INSERIMENTO LAVORATIVO ORIENTAMENTO SERVIZI SOCIETA'COOPERATIVA</v>
          </cell>
        </row>
        <row r="57">
          <cell r="A57" t="str">
            <v>1483127Università degli Studi dell'Insubria</v>
          </cell>
        </row>
        <row r="58">
          <cell r="A58" t="str">
            <v>1450113Politecnico di Milano</v>
          </cell>
        </row>
        <row r="59">
          <cell r="A59" t="str">
            <v>1450113FONDAZIONE POLITECNICO DI MILANO</v>
          </cell>
        </row>
        <row r="60">
          <cell r="A60" t="str">
            <v>1380764Regione Autonoma Valle d'Aosta</v>
          </cell>
        </row>
        <row r="61">
          <cell r="A61" t="str">
            <v>1380764Agenzia regionale per la protezione dell'ambiente della Valle d'Aosta</v>
          </cell>
        </row>
        <row r="62">
          <cell r="A62" t="str">
            <v>1380764Fondazione Montagna sicura - Montagne sûre</v>
          </cell>
        </row>
        <row r="63">
          <cell r="A63" t="str">
            <v>1380764Institut Agricole Régional</v>
          </cell>
        </row>
        <row r="64">
          <cell r="A64" t="str">
            <v>1495102Comune di Macugnaga</v>
          </cell>
        </row>
        <row r="65">
          <cell r="A65" t="str">
            <v>1507212AZIENDA SOCIO SANITARIA TERRITORIALE DELLA VALTELLINA E DELL'ALTO LARIO</v>
          </cell>
        </row>
        <row r="66">
          <cell r="A66" t="str">
            <v>1453095Università degli Studi di Milano</v>
          </cell>
        </row>
        <row r="67">
          <cell r="A67" t="str">
            <v>1248245G.R.A.I.A. SRL GESTIONE E RICERCA AMBIENTALE ITTICA ACQUE</v>
          </cell>
        </row>
        <row r="68">
          <cell r="A68" t="str">
            <v>1453958Politecnico di Milano</v>
          </cell>
        </row>
        <row r="69">
          <cell r="A69" t="str">
            <v>1254036FONDAZIONE POLITECNICO DI MILANO</v>
          </cell>
        </row>
        <row r="70">
          <cell r="A70" t="str">
            <v>1254036Politecnico di Milano</v>
          </cell>
        </row>
        <row r="71">
          <cell r="A71" t="str">
            <v>1404532Politecnico di Milano</v>
          </cell>
        </row>
        <row r="72">
          <cell r="A72" t="str">
            <v>1404532FONDAZIONE POLITECNICO DI MILANO</v>
          </cell>
        </row>
        <row r="73">
          <cell r="A73" t="str">
            <v>1232145comune di Saint-Rhémy-en-Bosses</v>
          </cell>
        </row>
        <row r="74">
          <cell r="A74" t="str">
            <v>1403938Università degli Studi dell'Insubria</v>
          </cell>
        </row>
        <row r="75">
          <cell r="A75" t="str">
            <v>1403938PTSCLAS</v>
          </cell>
        </row>
        <row r="76">
          <cell r="A76" t="str">
            <v>1403938UNIVERSITA' CARLO CATTANEO - LIUC</v>
          </cell>
        </row>
        <row r="77">
          <cell r="A77" t="str">
            <v>1453283Provincia di Novara</v>
          </cell>
        </row>
        <row r="78">
          <cell r="A78" t="str">
            <v>1453815LUINO</v>
          </cell>
        </row>
        <row r="79">
          <cell r="A79" t="str">
            <v>1498150LUINO</v>
          </cell>
        </row>
        <row r="80">
          <cell r="A80" t="str">
            <v>1498204LUINO</v>
          </cell>
        </row>
        <row r="81">
          <cell r="A81" t="str">
            <v>1498229LUINO</v>
          </cell>
        </row>
        <row r="82">
          <cell r="A82" t="str">
            <v>1499255LUINO</v>
          </cell>
        </row>
        <row r="83">
          <cell r="A83" t="str">
            <v>1505355LUINO</v>
          </cell>
        </row>
        <row r="84">
          <cell r="A84" t="str">
            <v>1506945LUINO</v>
          </cell>
        </row>
        <row r="85">
          <cell r="A85" t="str">
            <v>1507844LUINO</v>
          </cell>
        </row>
        <row r="86">
          <cell r="A86" t="str">
            <v>1508475LUINO</v>
          </cell>
        </row>
        <row r="87">
          <cell r="A87" t="str">
            <v>1509016LUINO</v>
          </cell>
        </row>
        <row r="88">
          <cell r="A88" t="str">
            <v>1426352Agenzia del trasporto pubblico del bacino di Como, Lecco e Varese</v>
          </cell>
        </row>
        <row r="89">
          <cell r="A89" t="str">
            <v>1408656UNIVERSITA' CARLO CATTANEO - LIUC</v>
          </cell>
        </row>
        <row r="90">
          <cell r="A90" t="str">
            <v>1316605Camera di Commercio Industria Artigianato Agricoltura di Novara</v>
          </cell>
        </row>
        <row r="91">
          <cell r="A91" t="str">
            <v>1316605Camera di Commercio del Verbano Cusio Ossola</v>
          </cell>
        </row>
        <row r="92">
          <cell r="A92" t="str">
            <v>1393207Camera di Commercio Industria Artigianato Agricoltura di Novara</v>
          </cell>
        </row>
        <row r="93">
          <cell r="A93" t="str">
            <v>1393207Camera di Commercio del Verbano Cusio Ossola</v>
          </cell>
        </row>
        <row r="94">
          <cell r="A94" t="str">
            <v>1447547Camera di Commercio Industria Artigianato Agricoltura di Novara</v>
          </cell>
        </row>
        <row r="95">
          <cell r="A95" t="str">
            <v>1447547Camera di Commercio del Verbano Cusio Ossola</v>
          </cell>
        </row>
        <row r="96">
          <cell r="A96" t="str">
            <v>1210203Institut Agricole Régional</v>
          </cell>
        </row>
        <row r="97">
          <cell r="A97" t="str">
            <v>1259594Institut Agricole Régional</v>
          </cell>
        </row>
        <row r="98">
          <cell r="A98" t="str">
            <v>1390371Institut Agricole Régional</v>
          </cell>
        </row>
        <row r="99">
          <cell r="A99" t="str">
            <v>1476249DEMETRA SPECIALIST S.R.L.</v>
          </cell>
        </row>
        <row r="100">
          <cell r="A100" t="str">
            <v>1459619COMUNITA' MONTANA VALLI DEL LARIO E DEL CERESIO</v>
          </cell>
        </row>
        <row r="101">
          <cell r="A101" t="str">
            <v>1460114PROVINCIA DI LECCO</v>
          </cell>
        </row>
        <row r="102">
          <cell r="A102" t="str">
            <v>1480584MONTAGNE DEL LAGO DI COMO</v>
          </cell>
        </row>
        <row r="103">
          <cell r="A103" t="str">
            <v>1486193NORTH LAKE COMO ASSOCIAZIONE TURISMO E COMMERCIO ALTO LAGO DI COMO</v>
          </cell>
        </row>
        <row r="104">
          <cell r="A104" t="str">
            <v>1488222LECCO</v>
          </cell>
        </row>
        <row r="105">
          <cell r="A105" t="str">
            <v>1490251COMUNITA' MONTANA VALLI DEL LARIO E DEL CERESIO</v>
          </cell>
        </row>
        <row r="106">
          <cell r="A106" t="str">
            <v>1492982CONSORZIO PER LA PROMOZIONE TURISTICA DELLA VALCHIAVENNA</v>
          </cell>
        </row>
        <row r="107">
          <cell r="A107" t="str">
            <v>1322533Fondazione"Monastero Santa Maria del Lavello"</v>
          </cell>
        </row>
        <row r="108">
          <cell r="A108" t="str">
            <v>1458772COMUNITA' MONTANA VALSASSINA VALVARRONE VAL D'ESINO E RIVIERA</v>
          </cell>
        </row>
        <row r="109">
          <cell r="A109" t="str">
            <v>1481471Università Cattolica del Sacro Cuore</v>
          </cell>
        </row>
        <row r="110">
          <cell r="A110" t="str">
            <v>1458772Provincia di Lecco</v>
          </cell>
        </row>
        <row r="111">
          <cell r="A111" t="str">
            <v>1458772FONDAZIONE LUIGI CLERICI</v>
          </cell>
        </row>
        <row r="112">
          <cell r="A112" t="str">
            <v>1514382Institut Agricole Régional</v>
          </cell>
        </row>
        <row r="113">
          <cell r="A113" t="str">
            <v>1514382Links - LEADING INNOVATION &amp; KNOWLEDGE FOR SOCIETY            DELL'INFORMAZIONE E DELLE TELECOMUNICAZIONI</v>
          </cell>
        </row>
        <row r="114">
          <cell r="A114" t="str">
            <v>1409270Comune di Ollomont</v>
          </cell>
        </row>
        <row r="115">
          <cell r="A115" t="str">
            <v>1409270Comune di Valpelline</v>
          </cell>
        </row>
        <row r="116">
          <cell r="A116" t="str">
            <v>1409270UNITE DES COMMUNES VALDÔTAINES GRAND-COMBIN</v>
          </cell>
        </row>
        <row r="117">
          <cell r="A117" t="str">
            <v>1512681Comune di Valpelline</v>
          </cell>
        </row>
        <row r="118">
          <cell r="A118" t="str">
            <v>1601150ARS AMBIENTE S.R.L.</v>
          </cell>
        </row>
        <row r="119">
          <cell r="A119" t="str">
            <v>1269167IDM Suedtirol - Alto Adige</v>
          </cell>
        </row>
        <row r="120">
          <cell r="A120" t="str">
            <v>1269167Agenzia per l'Energia Alto Adige - CasaClima</v>
          </cell>
        </row>
        <row r="121">
          <cell r="A121" t="str">
            <v>1269167EURAC research - Istituto per le Energie Rinnovabili</v>
          </cell>
        </row>
        <row r="122">
          <cell r="A122" t="str">
            <v>1331921SASA (Società Autobus Servizi d'Area)</v>
          </cell>
        </row>
        <row r="123">
          <cell r="A123" t="str">
            <v>1331921Comune di Merano</v>
          </cell>
        </row>
        <row r="124">
          <cell r="A124" t="str">
            <v>1331921NOI S.P.A. % NOI A.G.</v>
          </cell>
        </row>
        <row r="125">
          <cell r="A125" t="str">
            <v>1402805EUROPAEISCHE AKADEMIE BOZEN AUF ITALIENISCH "ACCADEMIA EUROPEA  DI BOLZANO " AUF LADINISCH "ACADEMIA EUROPEICA BULSAN" AUF ENGLISCH "EUROPEAN ACADEMY OF BOZEN-BOLZANO"</v>
          </cell>
        </row>
        <row r="126">
          <cell r="A126" t="str">
            <v>1404365EURAC research - Istituto per le Energie Rinnovabili</v>
          </cell>
        </row>
        <row r="127">
          <cell r="A127" t="str">
            <v>1404365Agenzia per l'Energia Alto Adige - CasaClima</v>
          </cell>
        </row>
        <row r="128">
          <cell r="A128" t="str">
            <v>1404365IDM Suedtirol - Alto Adige</v>
          </cell>
        </row>
        <row r="129">
          <cell r="A129" t="str">
            <v>1404436Fondazione Bruno Kessler</v>
          </cell>
        </row>
        <row r="130">
          <cell r="A130" t="str">
            <v>1409732Comunità comprensoriale Val Venosta</v>
          </cell>
        </row>
        <row r="131">
          <cell r="A131" t="str">
            <v>1468280NOI S.P.A. % NOI A.G.</v>
          </cell>
        </row>
        <row r="132">
          <cell r="A132" t="str">
            <v>1476249Comune di Bolzano</v>
          </cell>
        </row>
        <row r="133">
          <cell r="A133" t="str">
            <v>1476249R3 GIS S.R.L.</v>
          </cell>
        </row>
      </sheetData>
      <sheetData sheetId="11">
        <row r="1">
          <cell r="C1" t="str">
            <v>1397751Regione Lombardia</v>
          </cell>
          <cell r="L1" t="str">
            <v>1248245CNR Istituto di Ricerca Sulle Acque</v>
          </cell>
        </row>
        <row r="2">
          <cell r="C2" t="str">
            <v>1402805Regione Lombardia</v>
          </cell>
          <cell r="L2" t="str">
            <v>1254443Università del Piemonte Orientale</v>
          </cell>
        </row>
        <row r="3">
          <cell r="C3" t="str">
            <v>1403909Need Institute</v>
          </cell>
          <cell r="L3" t="str">
            <v>1254443IUSEFor</v>
          </cell>
        </row>
        <row r="4">
          <cell r="C4" t="str">
            <v>1403909CENTRO RICERCA ARTE MUSICA SPETTACOLO SOCIETA' COOPERATIVA SOCIAL IN MODO ABBREVIATO CRAMS</v>
          </cell>
          <cell r="L4" t="str">
            <v>1254443Associazione Didee - arti e comunicazione</v>
          </cell>
        </row>
        <row r="5">
          <cell r="C5" t="str">
            <v>1403909ATS DELLA BRIANZA</v>
          </cell>
          <cell r="L5" t="str">
            <v>1254443OLTRE LE QUINTE A.P.S.</v>
          </cell>
        </row>
        <row r="6">
          <cell r="C6" t="str">
            <v>1453095LARIOINTELVESE</v>
          </cell>
          <cell r="L6" t="str">
            <v>1325354Comune di Macugnaga</v>
          </cell>
        </row>
        <row r="7">
          <cell r="C7" t="str">
            <v>1458772FONDAZIONE LUIGI CLERICI</v>
          </cell>
          <cell r="L7" t="str">
            <v>1380764Politecnico di Torino</v>
          </cell>
        </row>
        <row r="8">
          <cell r="C8" t="str">
            <v>1461401CLAINO CON OSTENO</v>
          </cell>
          <cell r="L8" t="str">
            <v>1394431S.C.R.L. (SOCIETA' CONSORTILE A RESPONSABILITA' LIMITATA) DENOMI NATA DISTRETTO TURISTICO DEI LAGHI - SOCIETA' CONSORTILE A RESPONSABILITA' LIMITATA</v>
          </cell>
        </row>
        <row r="9">
          <cell r="C9" t="str">
            <v>1461401LARIOINTELVESE</v>
          </cell>
          <cell r="L9" t="str">
            <v>1401574Politecnico di Torino</v>
          </cell>
        </row>
        <row r="10">
          <cell r="C10" t="str">
            <v>1469166UNIONE PESCA SPORTIVA DELLA PROVINCIA DI SONDRIO</v>
          </cell>
          <cell r="L10" t="str">
            <v>1401574Centro per la Conservazione ed il Restauro dei Beni Culturali "La Venaria Reale"</v>
          </cell>
        </row>
        <row r="11">
          <cell r="C11" t="str">
            <v>1489559"TECHNOSPRINGS ITALIA S.R.L."</v>
          </cell>
          <cell r="L11" t="str">
            <v>1401574CONFARTIGIANATO IMPRESE PIEMONTE ORIENTALE</v>
          </cell>
        </row>
        <row r="12">
          <cell r="C12" t="str">
            <v>1497472COOPERATIVA SOCIALE SIM-PATIA - SOCIETA' COOPERATIVA</v>
          </cell>
          <cell r="L12" t="str">
            <v>1401574Università del Piemonte Orientale</v>
          </cell>
        </row>
        <row r="13">
          <cell r="C13" t="str">
            <v>1497472IL SENTIERO SOCIETA' COOPERATIVA SOCIALE</v>
          </cell>
          <cell r="L13" t="str">
            <v>1404411Arpa Piemonte</v>
          </cell>
        </row>
        <row r="14">
          <cell r="C14" t="str">
            <v>1497472LA CLESSIDRA SOCIETA' COOPERATIVA SOCIALE</v>
          </cell>
          <cell r="L14" t="str">
            <v>1418527Fondazione Circolo dei lettori</v>
          </cell>
        </row>
        <row r="15">
          <cell r="C15" t="str">
            <v>1506209Ente Regionale per i Servizi all'Agricoltura e alle Foreste - ERSAF</v>
          </cell>
          <cell r="L15" t="str">
            <v>1418527SCUOLA - COMUNITA' - IMPRESA</v>
          </cell>
        </row>
        <row r="16">
          <cell r="C16" t="str">
            <v>1506209Università degli Studi di Milano</v>
          </cell>
          <cell r="L16" t="str">
            <v>1418527Comunità di Sant Egidio Piemonte Onlus</v>
          </cell>
        </row>
        <row r="17">
          <cell r="C17" t="str">
            <v>1506209Regione Lombardia</v>
          </cell>
          <cell r="L17" t="str">
            <v>1418527Associazione Next Level</v>
          </cell>
        </row>
        <row r="18">
          <cell r="C18" t="str">
            <v>1506209AZIENDA DI PROMOZIONE E SVILUPPO TURISTICO DI LIVIGNO S.R.L. (IN ACRONIMO "A.P.T. S.R.L.")</v>
          </cell>
          <cell r="L18" t="str">
            <v>1447633Camera di Commercio del Verbano Cusio Ossola</v>
          </cell>
        </row>
        <row r="19">
          <cell r="C19" t="str">
            <v>1515866CENTRO RICERCA ARTE MUSICA SPETTACOLO SOCIETA' COOPERATIVA SOCIAL IN MODO ABBREVIATO CRAMS</v>
          </cell>
          <cell r="L19" t="str">
            <v>1447633Camera di Commercio Industria Artigianato Agricoltura di Novara</v>
          </cell>
        </row>
        <row r="20">
          <cell r="C20" t="str">
            <v>1542088LUINO</v>
          </cell>
          <cell r="L20" t="str">
            <v>1483127ENTE DI GESTIONE DELLE AREE PROTETTE DEL TICINO E DEL LAGO MAGGIORE</v>
          </cell>
        </row>
        <row r="21">
          <cell r="C21" t="str">
            <v>1561841LECCO</v>
          </cell>
          <cell r="L21" t="str">
            <v>1504887UNIONE MONTANA VALLE VIGEZZO</v>
          </cell>
        </row>
        <row r="22">
          <cell r="L22" t="str">
            <v>1520348Comune di Macugnaga</v>
          </cell>
        </row>
        <row r="23">
          <cell r="L23" t="str">
            <v>1548221unione del Lago Maggiore</v>
          </cell>
        </row>
        <row r="24">
          <cell r="L24" t="str">
            <v>1548221UNIONE MONTANA VALLE VIGEZZO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Model map"/>
      <sheetName val="Legend"/>
      <sheetName val="Lists"/>
      <sheetName val="Dashboard"/>
      <sheetName val="Inputs"/>
      <sheetName val="Meter reading calculation"/>
      <sheetName val="Connection revenue calculation"/>
      <sheetName val="Revenue calculation"/>
      <sheetName val="Generation by technology"/>
      <sheetName val="Sold energy"/>
      <sheetName val="Peak load calculation"/>
      <sheetName val="Fuel costs"/>
      <sheetName val="Generation by fuel"/>
      <sheetName val="CAPEX"/>
      <sheetName val="O&amp;M"/>
      <sheetName val="Cost outputs"/>
      <sheetName val="RAB Botom-up"/>
      <sheetName val="Regulated revenue"/>
      <sheetName val="Balancing fund"/>
      <sheetName val="SEC Financials"/>
      <sheetName val="Financing structure"/>
      <sheetName val="SEC-CF values"/>
      <sheetName val="Fin. indicators"/>
      <sheetName val="Charts SEC model"/>
      <sheetName val="Charts"/>
      <sheetName val="Benchmarking slides"/>
      <sheetName val="Charts_Followup_var"/>
      <sheetName val="Cockpit"/>
      <sheetName val="Sheet1"/>
      <sheetName val="Cover_page3"/>
      <sheetName val="Model_map3"/>
      <sheetName val="Meter_reading_calculation3"/>
      <sheetName val="Connection_revenue_calculation3"/>
      <sheetName val="Revenue_calculation3"/>
      <sheetName val="Generation_by_technology3"/>
      <sheetName val="Sold_energy3"/>
      <sheetName val="Peak_load_calculation3"/>
      <sheetName val="Fuel_costs3"/>
      <sheetName val="Generation_by_fuel3"/>
      <sheetName val="Cost_outputs3"/>
      <sheetName val="RAB_Botom-up3"/>
      <sheetName val="Regulated_revenue3"/>
      <sheetName val="Balancing_fund3"/>
      <sheetName val="SEC_Financials3"/>
      <sheetName val="Financing_structure3"/>
      <sheetName val="SEC-CF_values3"/>
      <sheetName val="Fin__indicators3"/>
      <sheetName val="Charts_SEC_model3"/>
      <sheetName val="Benchmarking_slides3"/>
      <sheetName val="Cover_page"/>
      <sheetName val="Model_map"/>
      <sheetName val="Meter_reading_calculation"/>
      <sheetName val="Connection_revenue_calculation"/>
      <sheetName val="Revenue_calculation"/>
      <sheetName val="Generation_by_technology"/>
      <sheetName val="Sold_energy"/>
      <sheetName val="Peak_load_calculation"/>
      <sheetName val="Fuel_costs"/>
      <sheetName val="Generation_by_fuel"/>
      <sheetName val="Cost_outputs"/>
      <sheetName val="RAB_Botom-up"/>
      <sheetName val="Regulated_revenue"/>
      <sheetName val="Balancing_fund"/>
      <sheetName val="SEC_Financials"/>
      <sheetName val="Financing_structure"/>
      <sheetName val="SEC-CF_values"/>
      <sheetName val="Fin__indicators"/>
      <sheetName val="Charts_SEC_model"/>
      <sheetName val="Benchmarking_slides"/>
      <sheetName val="Cover_page1"/>
      <sheetName val="Model_map1"/>
      <sheetName val="Meter_reading_calculation1"/>
      <sheetName val="Connection_revenue_calculation1"/>
      <sheetName val="Revenue_calculation1"/>
      <sheetName val="Generation_by_technology1"/>
      <sheetName val="Sold_energy1"/>
      <sheetName val="Peak_load_calculation1"/>
      <sheetName val="Fuel_costs1"/>
      <sheetName val="Generation_by_fuel1"/>
      <sheetName val="Cost_outputs1"/>
      <sheetName val="RAB_Botom-up1"/>
      <sheetName val="Regulated_revenue1"/>
      <sheetName val="Balancing_fund1"/>
      <sheetName val="SEC_Financials1"/>
      <sheetName val="Financing_structure1"/>
      <sheetName val="SEC-CF_values1"/>
      <sheetName val="Fin__indicators1"/>
      <sheetName val="Charts_SEC_model1"/>
      <sheetName val="Benchmarking_slides1"/>
      <sheetName val="Cover_page2"/>
      <sheetName val="Model_map2"/>
      <sheetName val="Meter_reading_calculation2"/>
      <sheetName val="Connection_revenue_calculation2"/>
      <sheetName val="Revenue_calculation2"/>
      <sheetName val="Generation_by_technology2"/>
      <sheetName val="Sold_energy2"/>
      <sheetName val="Peak_load_calculation2"/>
      <sheetName val="Fuel_costs2"/>
      <sheetName val="Generation_by_fuel2"/>
      <sheetName val="Cost_outputs2"/>
      <sheetName val="RAB_Botom-up2"/>
      <sheetName val="Regulated_revenue2"/>
      <sheetName val="Balancing_fund2"/>
      <sheetName val="SEC_Financials2"/>
      <sheetName val="Financing_structure2"/>
      <sheetName val="SEC-CF_values2"/>
      <sheetName val="Fin__indicators2"/>
      <sheetName val="Charts_SEC_model2"/>
      <sheetName val="Benchmarking_slides2"/>
      <sheetName val="Cover_page5"/>
      <sheetName val="Model_map5"/>
      <sheetName val="Meter_reading_calculation5"/>
      <sheetName val="Connection_revenue_calculation5"/>
      <sheetName val="Revenue_calculation5"/>
      <sheetName val="Generation_by_technology5"/>
      <sheetName val="Sold_energy5"/>
      <sheetName val="Peak_load_calculation5"/>
      <sheetName val="Fuel_costs5"/>
      <sheetName val="Generation_by_fuel5"/>
      <sheetName val="Cost_outputs5"/>
      <sheetName val="RAB_Botom-up5"/>
      <sheetName val="Regulated_revenue5"/>
      <sheetName val="Balancing_fund5"/>
      <sheetName val="SEC_Financials5"/>
      <sheetName val="Financing_structure5"/>
      <sheetName val="SEC-CF_values5"/>
      <sheetName val="Fin__indicators5"/>
      <sheetName val="Charts_SEC_model5"/>
      <sheetName val="Benchmarking_slides5"/>
      <sheetName val="Cover_page4"/>
      <sheetName val="Model_map4"/>
      <sheetName val="Meter_reading_calculation4"/>
      <sheetName val="Connection_revenue_calculation4"/>
      <sheetName val="Revenue_calculation4"/>
      <sheetName val="Generation_by_technology4"/>
      <sheetName val="Sold_energy4"/>
      <sheetName val="Peak_load_calculation4"/>
      <sheetName val="Fuel_costs4"/>
      <sheetName val="Generation_by_fuel4"/>
      <sheetName val="Cost_outputs4"/>
      <sheetName val="RAB_Botom-up4"/>
      <sheetName val="Regulated_revenue4"/>
      <sheetName val="Balancing_fund4"/>
      <sheetName val="SEC_Financials4"/>
      <sheetName val="Financing_structure4"/>
      <sheetName val="SEC-CF_values4"/>
      <sheetName val="Fin__indicators4"/>
      <sheetName val="Charts_SEC_model4"/>
      <sheetName val="Benchmarking_slides4"/>
      <sheetName val="Cover_page6"/>
      <sheetName val="Model_map6"/>
      <sheetName val="Meter_reading_calculation6"/>
      <sheetName val="Connection_revenue_calculation6"/>
      <sheetName val="Revenue_calculation6"/>
      <sheetName val="Generation_by_technology6"/>
      <sheetName val="Sold_energy6"/>
      <sheetName val="Peak_load_calculation6"/>
      <sheetName val="Fuel_costs6"/>
      <sheetName val="Generation_by_fuel6"/>
      <sheetName val="Cost_outputs6"/>
      <sheetName val="RAB_Botom-up6"/>
      <sheetName val="Regulated_revenue6"/>
      <sheetName val="Balancing_fund6"/>
      <sheetName val="SEC_Financials6"/>
      <sheetName val="Financing_structure6"/>
      <sheetName val="SEC-CF_values6"/>
      <sheetName val="Fin__indicators6"/>
      <sheetName val="Charts_SEC_model6"/>
      <sheetName val="Benchmarking_slides6"/>
      <sheetName val="Cover_page7"/>
      <sheetName val="Model_map7"/>
      <sheetName val="Meter_reading_calculation7"/>
      <sheetName val="Connection_revenue_calculation7"/>
      <sheetName val="Revenue_calculation7"/>
      <sheetName val="Generation_by_technology7"/>
      <sheetName val="Sold_energy7"/>
      <sheetName val="Peak_load_calculation7"/>
      <sheetName val="Fuel_costs7"/>
      <sheetName val="Generation_by_fuel7"/>
      <sheetName val="Cost_outputs7"/>
      <sheetName val="RAB_Botom-up7"/>
      <sheetName val="Regulated_revenue7"/>
      <sheetName val="Balancing_fund7"/>
      <sheetName val="SEC_Financials7"/>
      <sheetName val="Financing_structure7"/>
      <sheetName val="SEC-CF_values7"/>
      <sheetName val="Fin__indicators7"/>
      <sheetName val="Charts_SEC_model7"/>
      <sheetName val="Benchmarking_slides7"/>
      <sheetName val="ダッシュボード"/>
      <sheetName val="高炉別"/>
      <sheetName val="⇒Pivot"/>
      <sheetName val="合意状況"/>
      <sheetName val="年度➀"/>
      <sheetName val="年度➁"/>
      <sheetName val="年度➂"/>
      <sheetName val="逸失利益➀"/>
      <sheetName val="ネット CF➀"/>
      <sheetName val="逸失利益➂"/>
      <sheetName val="遺失利益(年月)"/>
      <sheetName val="連結除外損益➀"/>
      <sheetName val="連結除外損益➂"/>
      <sheetName val="ネット CF➂"/>
      <sheetName val="単体B職"/>
      <sheetName val="単体S職"/>
      <sheetName val="出向者"/>
      <sheetName val="年度×事業部×事投先名"/>
      <sheetName val="サマリ"/>
      <sheetName val="Pivot"/>
      <sheetName val="差異分析Pivot"/>
      <sheetName val="差異分析"/>
      <sheetName val="年度別詳細Pivot"/>
      <sheetName val="年度別詳細"/>
      <sheetName val="⇒Input"/>
      <sheetName val="5MOSC四国"/>
      <sheetName val="6京ブラ"/>
      <sheetName val="7三和鉄鋼"/>
      <sheetName val="8九州製鋼"/>
      <sheetName val="9MAC"/>
      <sheetName val="10MMP"/>
      <sheetName val="11MSPI"/>
      <sheetName val="12MOSAC恵州"/>
      <sheetName val="13SESS"/>
      <sheetName val="14NICOM"/>
      <sheetName val="15南昌SC"/>
      <sheetName val="16カノークス"/>
      <sheetName val="17オビコ"/>
      <sheetName val="18SU"/>
      <sheetName val="19MOチューブラー"/>
      <sheetName val="20HOLASA"/>
      <sheetName val="21STP"/>
      <sheetName val="22上海五波"/>
      <sheetName val="23舜菱"/>
      <sheetName val="24KCHM"/>
      <sheetName val="25トープラ"/>
      <sheetName val="26南京宝日"/>
      <sheetName val="27サンロック"/>
      <sheetName val="28交邦磨棒鋼"/>
      <sheetName val="29上海中煉"/>
      <sheetName val="30NAC"/>
      <sheetName val="31MOステンレス原料"/>
      <sheetName val="銘柄数分類"/>
      <sheetName val="STATUS"/>
      <sheetName val="STATUS (2)"/>
      <sheetName val="旧"/>
      <sheetName val="造船"/>
      <sheetName val="厚板"/>
      <sheetName val="建設鋼材"/>
      <sheetName val="鋼管"/>
      <sheetName val="自動車鋼材"/>
      <sheetName val="電機鋼材"/>
      <sheetName val="薄板"/>
      <sheetName val="エネプロ"/>
      <sheetName val="鉄鋼輸出"/>
      <sheetName val="鉄鋼国際"/>
      <sheetName val="線材"/>
      <sheetName val="特殊鋼"/>
      <sheetName val="ステンレスチタン"/>
      <sheetName val="撤退方針状況"/>
      <sheetName val="年度別"/>
      <sheetName val="取引関連利益差異分析"/>
      <sheetName val="逸失利益詳細"/>
      <sheetName val="売却損益詳細"/>
      <sheetName val="一般上場株影響額まとめ_200108"/>
      <sheetName val="BS影響額まとめ_高炉毎"/>
      <sheetName val="PL影響額まとめ_高炉毎"/>
      <sheetName val="影響額まとめ"/>
      <sheetName val="税前税後分析"/>
      <sheetName val="12月全明細(集合体)"/>
      <sheetName val="報告資料r"/>
      <sheetName val="受取配当金"/>
      <sheetName val="5月随伴利益ｻﾏﾘ"/>
      <sheetName val="5月随伴利益"/>
      <sheetName val="Cover_page9"/>
      <sheetName val="Model_map9"/>
      <sheetName val="Meter_reading_calculation9"/>
      <sheetName val="Connection_revenue_calculation9"/>
      <sheetName val="Revenue_calculation9"/>
      <sheetName val="Generation_by_technology9"/>
      <sheetName val="Sold_energy9"/>
      <sheetName val="Peak_load_calculation9"/>
      <sheetName val="Fuel_costs9"/>
      <sheetName val="Generation_by_fuel9"/>
      <sheetName val="Cost_outputs9"/>
      <sheetName val="RAB_Botom-up9"/>
      <sheetName val="Regulated_revenue9"/>
      <sheetName val="Balancing_fund9"/>
      <sheetName val="SEC_Financials9"/>
      <sheetName val="Financing_structure9"/>
      <sheetName val="SEC-CF_values9"/>
      <sheetName val="Fin__indicators9"/>
      <sheetName val="Charts_SEC_model9"/>
      <sheetName val="Benchmarking_slides9"/>
      <sheetName val="Cover_page8"/>
      <sheetName val="Model_map8"/>
      <sheetName val="Meter_reading_calculation8"/>
      <sheetName val="Connection_revenue_calculation8"/>
      <sheetName val="Revenue_calculation8"/>
      <sheetName val="Generation_by_technology8"/>
      <sheetName val="Sold_energy8"/>
      <sheetName val="Peak_load_calculation8"/>
      <sheetName val="Fuel_costs8"/>
      <sheetName val="Generation_by_fuel8"/>
      <sheetName val="Cost_outputs8"/>
      <sheetName val="RAB_Botom-up8"/>
      <sheetName val="Regulated_revenue8"/>
      <sheetName val="Balancing_fund8"/>
      <sheetName val="SEC_Financials8"/>
      <sheetName val="Financing_structure8"/>
      <sheetName val="SEC-CF_values8"/>
      <sheetName val="Fin__indicators8"/>
      <sheetName val="Charts_SEC_model8"/>
      <sheetName val="Benchmarking_slides8"/>
      <sheetName val="Cover_page10"/>
      <sheetName val="Model_map10"/>
      <sheetName val="Meter_reading_calculation10"/>
      <sheetName val="Connection_revenue_calculatio10"/>
      <sheetName val="Revenue_calculation10"/>
      <sheetName val="Generation_by_technology10"/>
      <sheetName val="Sold_energy10"/>
      <sheetName val="Peak_load_calculation10"/>
      <sheetName val="Fuel_costs10"/>
      <sheetName val="Generation_by_fuel10"/>
      <sheetName val="Cost_outputs10"/>
      <sheetName val="RAB_Botom-up10"/>
      <sheetName val="Regulated_revenue10"/>
      <sheetName val="Balancing_fund10"/>
      <sheetName val="SEC_Financials10"/>
      <sheetName val="Financing_structure10"/>
      <sheetName val="SEC-CF_values10"/>
      <sheetName val="Fin__indicators10"/>
      <sheetName val="Charts_SEC_model10"/>
      <sheetName val="Benchmarking_slides10"/>
      <sheetName val="Cover_page11"/>
      <sheetName val="Model_map11"/>
      <sheetName val="Meter_reading_calculation11"/>
      <sheetName val="Connection_revenue_calculatio11"/>
      <sheetName val="Revenue_calculation11"/>
      <sheetName val="Generation_by_technology11"/>
      <sheetName val="Sold_energy11"/>
      <sheetName val="Peak_load_calculation11"/>
      <sheetName val="Fuel_costs11"/>
      <sheetName val="Generation_by_fuel11"/>
      <sheetName val="Cost_outputs11"/>
      <sheetName val="RAB_Botom-up11"/>
      <sheetName val="Regulated_revenue11"/>
      <sheetName val="Balancing_fund11"/>
      <sheetName val="SEC_Financials11"/>
      <sheetName val="Financing_structure11"/>
      <sheetName val="SEC-CF_values11"/>
      <sheetName val="Fin__indicators11"/>
      <sheetName val="Charts_SEC_model11"/>
      <sheetName val="Benchmarking_slides11"/>
      <sheetName val="単位生産数"/>
      <sheetName val="設備投資"/>
      <sheetName val="ADLサマリ"/>
      <sheetName val="Cost structure of WS"/>
      <sheetName val="Cost structure of BL"/>
      <sheetName val="Cost structure of SL"/>
      <sheetName val="Cost structure (overview)"/>
      <sheetName val="→back data"/>
      <sheetName val="Cost Detail (data from AGC)"/>
      <sheetName val="Cost Detail (raw data)"/>
      <sheetName val="Cost Detail (revised)"/>
      <sheetName val="Cost structure in report"/>
      <sheetName val="Profit margin"/>
      <sheetName val="Labor cost &amp; depreciation cost "/>
      <sheetName val="Cost structure overview"/>
      <sheetName val="Cover_page17"/>
      <sheetName val="Model_map17"/>
      <sheetName val="Meter_reading_calculation17"/>
      <sheetName val="Connection_revenue_calculatio17"/>
      <sheetName val="Revenue_calculation17"/>
      <sheetName val="Generation_by_technology17"/>
      <sheetName val="Sold_energy17"/>
      <sheetName val="Peak_load_calculation17"/>
      <sheetName val="Fuel_costs17"/>
      <sheetName val="Generation_by_fuel17"/>
      <sheetName val="Cost_outputs17"/>
      <sheetName val="RAB_Botom-up17"/>
      <sheetName val="Regulated_revenue17"/>
      <sheetName val="Balancing_fund17"/>
      <sheetName val="SEC_Financials17"/>
      <sheetName val="Financing_structure17"/>
      <sheetName val="SEC-CF_values17"/>
      <sheetName val="Fin__indicators17"/>
      <sheetName val="Charts_SEC_model17"/>
      <sheetName val="Benchmarking_slides17"/>
      <sheetName val="Cover_page12"/>
      <sheetName val="Model_map12"/>
      <sheetName val="Meter_reading_calculation12"/>
      <sheetName val="Connection_revenue_calculatio12"/>
      <sheetName val="Revenue_calculation12"/>
      <sheetName val="Generation_by_technology12"/>
      <sheetName val="Sold_energy12"/>
      <sheetName val="Peak_load_calculation12"/>
      <sheetName val="Fuel_costs12"/>
      <sheetName val="Generation_by_fuel12"/>
      <sheetName val="Cost_outputs12"/>
      <sheetName val="RAB_Botom-up12"/>
      <sheetName val="Regulated_revenue12"/>
      <sheetName val="Balancing_fund12"/>
      <sheetName val="SEC_Financials12"/>
      <sheetName val="Financing_structure12"/>
      <sheetName val="SEC-CF_values12"/>
      <sheetName val="Fin__indicators12"/>
      <sheetName val="Charts_SEC_model12"/>
      <sheetName val="Benchmarking_slides12"/>
      <sheetName val="Cover_page13"/>
      <sheetName val="Model_map13"/>
      <sheetName val="Meter_reading_calculation13"/>
      <sheetName val="Connection_revenue_calculatio13"/>
      <sheetName val="Revenue_calculation13"/>
      <sheetName val="Generation_by_technology13"/>
      <sheetName val="Sold_energy13"/>
      <sheetName val="Peak_load_calculation13"/>
      <sheetName val="Fuel_costs13"/>
      <sheetName val="Generation_by_fuel13"/>
      <sheetName val="Cost_outputs13"/>
      <sheetName val="RAB_Botom-up13"/>
      <sheetName val="Regulated_revenue13"/>
      <sheetName val="Balancing_fund13"/>
      <sheetName val="SEC_Financials13"/>
      <sheetName val="Financing_structure13"/>
      <sheetName val="SEC-CF_values13"/>
      <sheetName val="Fin__indicators13"/>
      <sheetName val="Charts_SEC_model13"/>
      <sheetName val="Benchmarking_slides13"/>
      <sheetName val="Cover_page14"/>
      <sheetName val="Model_map14"/>
      <sheetName val="Meter_reading_calculation14"/>
      <sheetName val="Connection_revenue_calculatio14"/>
      <sheetName val="Revenue_calculation14"/>
      <sheetName val="Generation_by_technology14"/>
      <sheetName val="Sold_energy14"/>
      <sheetName val="Peak_load_calculation14"/>
      <sheetName val="Fuel_costs14"/>
      <sheetName val="Generation_by_fuel14"/>
      <sheetName val="Cost_outputs14"/>
      <sheetName val="RAB_Botom-up14"/>
      <sheetName val="Regulated_revenue14"/>
      <sheetName val="Balancing_fund14"/>
      <sheetName val="SEC_Financials14"/>
      <sheetName val="Financing_structure14"/>
      <sheetName val="SEC-CF_values14"/>
      <sheetName val="Fin__indicators14"/>
      <sheetName val="Charts_SEC_model14"/>
      <sheetName val="Benchmarking_slides14"/>
      <sheetName val="Cover_page15"/>
      <sheetName val="Model_map15"/>
      <sheetName val="Meter_reading_calculation15"/>
      <sheetName val="Connection_revenue_calculatio15"/>
      <sheetName val="Revenue_calculation15"/>
      <sheetName val="Generation_by_technology15"/>
      <sheetName val="Sold_energy15"/>
      <sheetName val="Peak_load_calculation15"/>
      <sheetName val="Fuel_costs15"/>
      <sheetName val="Generation_by_fuel15"/>
      <sheetName val="Cost_outputs15"/>
      <sheetName val="RAB_Botom-up15"/>
      <sheetName val="Regulated_revenue15"/>
      <sheetName val="Balancing_fund15"/>
      <sheetName val="SEC_Financials15"/>
      <sheetName val="Financing_structure15"/>
      <sheetName val="SEC-CF_values15"/>
      <sheetName val="Fin__indicators15"/>
      <sheetName val="Charts_SEC_model15"/>
      <sheetName val="Benchmarking_slides15"/>
      <sheetName val="Cover_page16"/>
      <sheetName val="Model_map16"/>
      <sheetName val="Meter_reading_calculation16"/>
      <sheetName val="Connection_revenue_calculatio16"/>
      <sheetName val="Revenue_calculation16"/>
      <sheetName val="Generation_by_technology16"/>
      <sheetName val="Sold_energy16"/>
      <sheetName val="Peak_load_calculation16"/>
      <sheetName val="Fuel_costs16"/>
      <sheetName val="Generation_by_fuel16"/>
      <sheetName val="Cost_outputs16"/>
      <sheetName val="RAB_Botom-up16"/>
      <sheetName val="Regulated_revenue16"/>
      <sheetName val="Balancing_fund16"/>
      <sheetName val="SEC_Financials16"/>
      <sheetName val="Financing_structure16"/>
      <sheetName val="SEC-CF_values16"/>
      <sheetName val="Fin__indicators16"/>
      <sheetName val="Charts_SEC_model16"/>
      <sheetName val="Benchmarking_slides16"/>
      <sheetName val="Cover_page18"/>
      <sheetName val="Model_map18"/>
      <sheetName val="Meter_reading_calculation18"/>
      <sheetName val="Connection_revenue_calculatio18"/>
      <sheetName val="Revenue_calculation18"/>
      <sheetName val="Generation_by_technology18"/>
      <sheetName val="Sold_energy18"/>
      <sheetName val="Peak_load_calculation18"/>
      <sheetName val="Fuel_costs18"/>
      <sheetName val="Generation_by_fuel18"/>
      <sheetName val="Cost_outputs18"/>
      <sheetName val="RAB_Botom-up18"/>
      <sheetName val="Regulated_revenue18"/>
      <sheetName val="Balancing_fund18"/>
      <sheetName val="SEC_Financials18"/>
      <sheetName val="Financing_structure18"/>
      <sheetName val="SEC-CF_values18"/>
      <sheetName val="Fin__indicators18"/>
      <sheetName val="Charts_SEC_model18"/>
      <sheetName val="Benchmarking_slides18"/>
      <sheetName val="Server Master"/>
      <sheetName val="Application Master"/>
      <sheetName val="App to server"/>
      <sheetName val="Boardpress_Timeline"/>
      <sheetName val="Dispatches_Timeline"/>
      <sheetName val="Multiple App Servers Timeline"/>
      <sheetName val="Bringing in new data"/>
      <sheetName val="Apps&amp;BUResponsible"/>
      <sheetName val="Pivot Active"/>
      <sheetName val="lApp"/>
      <sheetName val="Index"/>
      <sheetName val="Generic"/>
      <sheetName val="ADIF"/>
      <sheetName val="Routes-Trains"/>
      <sheetName val="Demand"/>
      <sheetName val="Supply"/>
      <sheetName val="Tariffs"/>
      <sheetName val="Costs"/>
      <sheetName val="Investments"/>
      <sheetName val="Operations M"/>
      <sheetName val="Operations Y"/>
      <sheetName val="Load Factor Y"/>
      <sheetName val="Capacity Adjustment Y"/>
      <sheetName val="Joint Route Costs Y"/>
      <sheetName val="REVENUES"/>
      <sheetName val="OPEX"/>
      <sheetName val="BP Summary"/>
      <sheetName val="PPT Board Charts"/>
      <sheetName val="PPT BP Charts"/>
      <sheetName val="PPT OPs Charts"/>
      <sheetName val="Cover_page19"/>
      <sheetName val="Model_map19"/>
      <sheetName val="Meter_reading_calculation19"/>
      <sheetName val="Connection_revenue_calculatio19"/>
      <sheetName val="Revenue_calculation19"/>
      <sheetName val="Generation_by_technology19"/>
      <sheetName val="Sold_energy19"/>
      <sheetName val="Peak_load_calculation19"/>
      <sheetName val="Fuel_costs19"/>
      <sheetName val="Generation_by_fuel19"/>
      <sheetName val="Cost_outputs19"/>
      <sheetName val="RAB_Botom-up19"/>
      <sheetName val="Regulated_revenue19"/>
      <sheetName val="Balancing_fund19"/>
      <sheetName val="SEC_Financials19"/>
      <sheetName val="Financing_structure19"/>
      <sheetName val="SEC-CF_values19"/>
      <sheetName val="Fin__indicators19"/>
      <sheetName val="Charts_SEC_model19"/>
      <sheetName val="Benchmarking_slides19"/>
      <sheetName val="ネット_CF➀"/>
      <sheetName val="ネット_CF➂"/>
      <sheetName val="STATUS_(2)"/>
      <sheetName val="Cost_structure_of_WS"/>
      <sheetName val="Cost_structure_of_BL"/>
      <sheetName val="Cost_structure_of_SL"/>
      <sheetName val="Cost_structure_(overview)"/>
      <sheetName val="→back_data"/>
      <sheetName val="Cost_Detail_(data_from_AGC)"/>
      <sheetName val="Cost_Detail_(raw_data)"/>
      <sheetName val="Cost_Detail_(revised)"/>
      <sheetName val="Cost_structure_in_report"/>
      <sheetName val="Profit_margin"/>
      <sheetName val="Labor_cost_&amp;_depreciation_cost_"/>
      <sheetName val="Cost_structure_overview"/>
      <sheetName val="Operations_M"/>
      <sheetName val="Operations_Y"/>
      <sheetName val="Load_Factor_Y"/>
      <sheetName val="Capacity_Adjustment_Y"/>
      <sheetName val="Joint_Route_Costs_Y"/>
      <sheetName val="BP_Summary"/>
      <sheetName val="PPT_Board_Charts"/>
      <sheetName val="PPT_BP_Charts"/>
      <sheetName val="PPT_OPs_Charts"/>
      <sheetName val="Cover_page20"/>
      <sheetName val="Model_map20"/>
      <sheetName val="Meter_reading_calculation20"/>
      <sheetName val="Connection_revenue_calculatio20"/>
      <sheetName val="Revenue_calculation20"/>
      <sheetName val="Generation_by_technology20"/>
      <sheetName val="Sold_energy20"/>
      <sheetName val="Peak_load_calculation20"/>
      <sheetName val="Fuel_costs20"/>
      <sheetName val="Generation_by_fuel20"/>
      <sheetName val="Cost_outputs20"/>
      <sheetName val="RAB_Botom-up20"/>
      <sheetName val="Regulated_revenue20"/>
      <sheetName val="Balancing_fund20"/>
      <sheetName val="SEC_Financials20"/>
      <sheetName val="Financing_structure20"/>
      <sheetName val="SEC-CF_values20"/>
      <sheetName val="Fin__indicators20"/>
      <sheetName val="Charts_SEC_model20"/>
      <sheetName val="Benchmarking_slides20"/>
      <sheetName val="Operations_M1"/>
      <sheetName val="Operations_Y1"/>
      <sheetName val="Load_Factor_Y1"/>
      <sheetName val="Capacity_Adjustment_Y1"/>
      <sheetName val="Joint_Route_Costs_Y1"/>
      <sheetName val="BP_Summary1"/>
      <sheetName val="PPT_Board_Charts1"/>
      <sheetName val="PPT_BP_Charts1"/>
      <sheetName val="PPT_OPs_Charts1"/>
      <sheetName val="ネット_CF➀1"/>
      <sheetName val="ネット_CF➂1"/>
      <sheetName val="STATUS_(2)1"/>
      <sheetName val="Cost_structure_of_WS1"/>
      <sheetName val="Cost_structure_of_BL1"/>
      <sheetName val="Cost_structure_of_SL1"/>
      <sheetName val="Cost_structure_(overview)1"/>
      <sheetName val="→back_data1"/>
      <sheetName val="Cost_Detail_(data_from_AGC)1"/>
      <sheetName val="Cost_Detail_(raw_data)1"/>
      <sheetName val="Cost_Detail_(revised)1"/>
      <sheetName val="Cost_structure_in_report1"/>
      <sheetName val="Profit_margin1"/>
      <sheetName val="Labor_cost_&amp;_depreciation_cost1"/>
      <sheetName val="Cost_structure_overview1"/>
      <sheetName val="liste"/>
      <sheetName val="Tableaux Axes"/>
      <sheetName val="Cover_page21"/>
      <sheetName val="Model_map21"/>
      <sheetName val="Meter_reading_calculation21"/>
      <sheetName val="Connection_revenue_calculatio21"/>
      <sheetName val="Revenue_calculation21"/>
      <sheetName val="Generation_by_technology21"/>
      <sheetName val="Sold_energy21"/>
      <sheetName val="Peak_load_calculation21"/>
      <sheetName val="Fuel_costs21"/>
      <sheetName val="Generation_by_fuel21"/>
      <sheetName val="Cost_outputs21"/>
      <sheetName val="RAB_Botom-up21"/>
      <sheetName val="Regulated_revenue21"/>
      <sheetName val="Balancing_fund21"/>
      <sheetName val="SEC_Financials21"/>
      <sheetName val="Financing_structure21"/>
      <sheetName val="SEC-CF_values21"/>
      <sheetName val="Fin__indicators21"/>
      <sheetName val="Charts_SEC_model21"/>
      <sheetName val="Benchmarking_slides21"/>
      <sheetName val="ネット_CF➀2"/>
      <sheetName val="ネット_CF➂2"/>
      <sheetName val="STATUS_(2)2"/>
      <sheetName val="Cost_structure_of_WS2"/>
      <sheetName val="Cost_structure_of_BL2"/>
      <sheetName val="Cost_structure_of_SL2"/>
      <sheetName val="Cost_structure_(overview)2"/>
      <sheetName val="→back_data2"/>
      <sheetName val="Cost_Detail_(data_from_AGC)2"/>
      <sheetName val="Cost_Detail_(raw_data)2"/>
      <sheetName val="Cost_Detail_(revised)2"/>
      <sheetName val="Cost_structure_in_report2"/>
      <sheetName val="Profit_margin2"/>
      <sheetName val="Labor_cost_&amp;_depreciation_cost2"/>
      <sheetName val="Cost_structure_overview2"/>
      <sheetName val="Server_Master"/>
      <sheetName val="Application_Master"/>
      <sheetName val="App_to_server"/>
      <sheetName val="Multiple_App_Servers_Timeline"/>
      <sheetName val="Bringing_in_new_data"/>
      <sheetName val="Pivot_Active"/>
      <sheetName val="Operations_M2"/>
      <sheetName val="Operations_Y2"/>
      <sheetName val="Load_Factor_Y2"/>
      <sheetName val="Capacity_Adjustment_Y2"/>
      <sheetName val="Joint_Route_Costs_Y2"/>
      <sheetName val="BP_Summary2"/>
      <sheetName val="PPT_Board_Charts2"/>
      <sheetName val="PPT_BP_Charts2"/>
      <sheetName val="PPT_OPs_Charts2"/>
      <sheetName val="Tableaux_Axes"/>
      <sheetName val="ネット_CF➀3"/>
      <sheetName val="ネット_CF➂3"/>
      <sheetName val="STATUS_(2)3"/>
      <sheetName val="Cost_structure_of_WS3"/>
      <sheetName val="Cost_structure_of_BL3"/>
      <sheetName val="Cost_structure_of_SL3"/>
      <sheetName val="Cost_structure_(overview)3"/>
      <sheetName val="→back_data3"/>
      <sheetName val="Cost_Detail_(data_from_AGC)3"/>
      <sheetName val="Cost_Detail_(raw_data)3"/>
      <sheetName val="Cost_Detail_(revised)3"/>
      <sheetName val="Cost_structure_in_report3"/>
      <sheetName val="Profit_margin3"/>
      <sheetName val="Labor_cost_&amp;_depreciation_cost3"/>
      <sheetName val="Cost_structure_overview3"/>
      <sheetName val="Cover_page23"/>
      <sheetName val="Model_map23"/>
      <sheetName val="Meter_reading_calculation23"/>
      <sheetName val="Connection_revenue_calculatio23"/>
      <sheetName val="Revenue_calculation23"/>
      <sheetName val="Generation_by_technology23"/>
      <sheetName val="Sold_energy23"/>
      <sheetName val="Peak_load_calculation23"/>
      <sheetName val="Fuel_costs23"/>
      <sheetName val="Generation_by_fuel23"/>
      <sheetName val="Cost_outputs23"/>
      <sheetName val="RAB_Botom-up23"/>
      <sheetName val="Regulated_revenue23"/>
      <sheetName val="Balancing_fund23"/>
      <sheetName val="SEC_Financials23"/>
      <sheetName val="Financing_structure23"/>
      <sheetName val="SEC-CF_values23"/>
      <sheetName val="Fin__indicators23"/>
      <sheetName val="Charts_SEC_model23"/>
      <sheetName val="Benchmarking_slides23"/>
      <sheetName val="ネット_CF➀5"/>
      <sheetName val="ネット_CF➂5"/>
      <sheetName val="STATUS_(2)5"/>
      <sheetName val="Cost_structure_of_WS5"/>
      <sheetName val="Cost_structure_of_BL5"/>
      <sheetName val="Cost_structure_of_SL5"/>
      <sheetName val="Cost_structure_(overview)5"/>
      <sheetName val="→back_data5"/>
      <sheetName val="Cost_Detail_(data_from_AGC)5"/>
      <sheetName val="Cost_Detail_(raw_data)5"/>
      <sheetName val="Cost_Detail_(revised)5"/>
      <sheetName val="Cost_structure_in_report5"/>
      <sheetName val="Profit_margin5"/>
      <sheetName val="Labor_cost_&amp;_depreciation_cost5"/>
      <sheetName val="Cost_structure_overview5"/>
      <sheetName val="Server_Master2"/>
      <sheetName val="Application_Master2"/>
      <sheetName val="App_to_server2"/>
      <sheetName val="Multiple_App_Servers_Timeline2"/>
      <sheetName val="Bringing_in_new_data2"/>
      <sheetName val="Pivot_Active2"/>
      <sheetName val="Operations_M4"/>
      <sheetName val="Operations_Y4"/>
      <sheetName val="Load_Factor_Y4"/>
      <sheetName val="Capacity_Adjustment_Y4"/>
      <sheetName val="Joint_Route_Costs_Y4"/>
      <sheetName val="BP_Summary4"/>
      <sheetName val="PPT_Board_Charts4"/>
      <sheetName val="PPT_BP_Charts4"/>
      <sheetName val="PPT_OPs_Charts4"/>
      <sheetName val="Tableaux_Axes2"/>
      <sheetName val="Cover_page22"/>
      <sheetName val="Model_map22"/>
      <sheetName val="Meter_reading_calculation22"/>
      <sheetName val="Connection_revenue_calculatio22"/>
      <sheetName val="Revenue_calculation22"/>
      <sheetName val="Generation_by_technology22"/>
      <sheetName val="Sold_energy22"/>
      <sheetName val="Peak_load_calculation22"/>
      <sheetName val="Fuel_costs22"/>
      <sheetName val="Generation_by_fuel22"/>
      <sheetName val="Cost_outputs22"/>
      <sheetName val="RAB_Botom-up22"/>
      <sheetName val="Regulated_revenue22"/>
      <sheetName val="Balancing_fund22"/>
      <sheetName val="SEC_Financials22"/>
      <sheetName val="Financing_structure22"/>
      <sheetName val="SEC-CF_values22"/>
      <sheetName val="Fin__indicators22"/>
      <sheetName val="Charts_SEC_model22"/>
      <sheetName val="Benchmarking_slides22"/>
      <sheetName val="ネット_CF➀4"/>
      <sheetName val="ネット_CF➂4"/>
      <sheetName val="STATUS_(2)4"/>
      <sheetName val="Cost_structure_of_WS4"/>
      <sheetName val="Cost_structure_of_BL4"/>
      <sheetName val="Cost_structure_of_SL4"/>
      <sheetName val="Cost_structure_(overview)4"/>
      <sheetName val="→back_data4"/>
      <sheetName val="Cost_Detail_(data_from_AGC)4"/>
      <sheetName val="Cost_Detail_(raw_data)4"/>
      <sheetName val="Cost_Detail_(revised)4"/>
      <sheetName val="Cost_structure_in_report4"/>
      <sheetName val="Profit_margin4"/>
      <sheetName val="Labor_cost_&amp;_depreciation_cost4"/>
      <sheetName val="Cost_structure_overview4"/>
      <sheetName val="Server_Master1"/>
      <sheetName val="Application_Master1"/>
      <sheetName val="App_to_server1"/>
      <sheetName val="Multiple_App_Servers_Timeline1"/>
      <sheetName val="Bringing_in_new_data1"/>
      <sheetName val="Pivot_Active1"/>
      <sheetName val="Operations_M3"/>
      <sheetName val="Operations_Y3"/>
      <sheetName val="Load_Factor_Y3"/>
      <sheetName val="Capacity_Adjustment_Y3"/>
      <sheetName val="Joint_Route_Costs_Y3"/>
      <sheetName val="BP_Summary3"/>
      <sheetName val="PPT_Board_Charts3"/>
      <sheetName val="PPT_BP_Charts3"/>
      <sheetName val="PPT_OPs_Charts3"/>
      <sheetName val="Tableaux_Axes1"/>
      <sheetName val="Cover_page26"/>
      <sheetName val="Model_map26"/>
      <sheetName val="Meter_reading_calculation26"/>
      <sheetName val="Connection_revenue_calculatio26"/>
      <sheetName val="Revenue_calculation26"/>
      <sheetName val="Generation_by_technology26"/>
      <sheetName val="Sold_energy26"/>
      <sheetName val="Peak_load_calculation26"/>
      <sheetName val="Fuel_costs26"/>
      <sheetName val="Generation_by_fuel26"/>
      <sheetName val="Cost_outputs26"/>
      <sheetName val="RAB_Botom-up26"/>
      <sheetName val="Regulated_revenue26"/>
      <sheetName val="Balancing_fund26"/>
      <sheetName val="SEC_Financials26"/>
      <sheetName val="Financing_structure26"/>
      <sheetName val="SEC-CF_values26"/>
      <sheetName val="Fin__indicators26"/>
      <sheetName val="Charts_SEC_model26"/>
      <sheetName val="Benchmarking_slides26"/>
      <sheetName val="Cover_page24"/>
      <sheetName val="Model_map24"/>
      <sheetName val="Meter_reading_calculation24"/>
      <sheetName val="Connection_revenue_calculatio24"/>
      <sheetName val="Revenue_calculation24"/>
      <sheetName val="Generation_by_technology24"/>
      <sheetName val="Sold_energy24"/>
      <sheetName val="Peak_load_calculation24"/>
      <sheetName val="Fuel_costs24"/>
      <sheetName val="Generation_by_fuel24"/>
      <sheetName val="Cost_outputs24"/>
      <sheetName val="RAB_Botom-up24"/>
      <sheetName val="Regulated_revenue24"/>
      <sheetName val="Balancing_fund24"/>
      <sheetName val="SEC_Financials24"/>
      <sheetName val="Financing_structure24"/>
      <sheetName val="SEC-CF_values24"/>
      <sheetName val="Fin__indicators24"/>
      <sheetName val="Charts_SEC_model24"/>
      <sheetName val="Benchmarking_slides24"/>
      <sheetName val="Cover_page25"/>
      <sheetName val="Model_map25"/>
      <sheetName val="Meter_reading_calculation25"/>
      <sheetName val="Connection_revenue_calculatio25"/>
      <sheetName val="Revenue_calculation25"/>
      <sheetName val="Generation_by_technology25"/>
      <sheetName val="Sold_energy25"/>
      <sheetName val="Peak_load_calculation25"/>
      <sheetName val="Fuel_costs25"/>
      <sheetName val="Generation_by_fuel25"/>
      <sheetName val="Cost_outputs25"/>
      <sheetName val="RAB_Botom-up25"/>
      <sheetName val="Regulated_revenue25"/>
      <sheetName val="Balancing_fund25"/>
      <sheetName val="SEC_Financials25"/>
      <sheetName val="Financing_structure25"/>
      <sheetName val="SEC-CF_values25"/>
      <sheetName val="Fin__indicators25"/>
      <sheetName val="Charts_SEC_model25"/>
      <sheetName val="Benchmarking_slides25"/>
      <sheetName val="Cover_page27"/>
      <sheetName val="Model_map27"/>
      <sheetName val="Meter_reading_calculation27"/>
      <sheetName val="Connection_revenue_calculatio27"/>
      <sheetName val="Revenue_calculation27"/>
      <sheetName val="Generation_by_technology27"/>
      <sheetName val="Sold_energy27"/>
      <sheetName val="Peak_load_calculation27"/>
      <sheetName val="Fuel_costs27"/>
      <sheetName val="Generation_by_fuel27"/>
      <sheetName val="Cost_outputs27"/>
      <sheetName val="RAB_Botom-up27"/>
      <sheetName val="Regulated_revenue27"/>
      <sheetName val="Balancing_fund27"/>
      <sheetName val="SEC_Financials27"/>
      <sheetName val="Financing_structure27"/>
      <sheetName val="SEC-CF_values27"/>
      <sheetName val="Fin__indicators27"/>
      <sheetName val="Charts_SEC_model27"/>
      <sheetName val="Benchmarking_slides27"/>
      <sheetName val="Cover_page28"/>
      <sheetName val="Model_map28"/>
      <sheetName val="Meter_reading_calculation28"/>
      <sheetName val="Connection_revenue_calculatio28"/>
      <sheetName val="Revenue_calculation28"/>
      <sheetName val="Generation_by_technology28"/>
      <sheetName val="Sold_energy28"/>
      <sheetName val="Peak_load_calculation28"/>
      <sheetName val="Fuel_costs28"/>
      <sheetName val="Generation_by_fuel28"/>
      <sheetName val="Cost_outputs28"/>
      <sheetName val="RAB_Botom-up28"/>
      <sheetName val="Regulated_revenue28"/>
      <sheetName val="Balancing_fund28"/>
      <sheetName val="SEC_Financials28"/>
      <sheetName val="Financing_structure28"/>
      <sheetName val="SEC-CF_values28"/>
      <sheetName val="Fin__indicators28"/>
      <sheetName val="Charts_SEC_model28"/>
      <sheetName val="Benchmarking_slides28"/>
      <sheetName val="Cover_page29"/>
      <sheetName val="Model_map29"/>
      <sheetName val="Meter_reading_calculation29"/>
      <sheetName val="Connection_revenue_calculatio29"/>
      <sheetName val="Revenue_calculation29"/>
      <sheetName val="Generation_by_technology29"/>
      <sheetName val="Sold_energy29"/>
      <sheetName val="Peak_load_calculation29"/>
      <sheetName val="Fuel_costs29"/>
      <sheetName val="Generation_by_fuel29"/>
      <sheetName val="Cost_outputs29"/>
      <sheetName val="RAB_Botom-up29"/>
      <sheetName val="Regulated_revenue29"/>
      <sheetName val="Balancing_fund29"/>
      <sheetName val="SEC_Financials29"/>
      <sheetName val="Financing_structure29"/>
      <sheetName val="SEC-CF_values29"/>
      <sheetName val="Fin__indicators29"/>
      <sheetName val="Charts_SEC_model29"/>
      <sheetName val="Benchmarking_slides29"/>
      <sheetName val="Cover_page30"/>
      <sheetName val="Model_map30"/>
      <sheetName val="Meter_reading_calculation30"/>
      <sheetName val="Connection_revenue_calculatio30"/>
      <sheetName val="Revenue_calculation30"/>
      <sheetName val="Generation_by_technology30"/>
      <sheetName val="Sold_energy30"/>
      <sheetName val="Peak_load_calculation30"/>
      <sheetName val="Fuel_costs30"/>
      <sheetName val="Generation_by_fuel30"/>
      <sheetName val="Cost_outputs30"/>
      <sheetName val="RAB_Botom-up30"/>
      <sheetName val="Regulated_revenue30"/>
      <sheetName val="Balancing_fund30"/>
      <sheetName val="SEC_Financials30"/>
      <sheetName val="Financing_structure30"/>
      <sheetName val="SEC-CF_values30"/>
      <sheetName val="Fin__indicators30"/>
      <sheetName val="Charts_SEC_model30"/>
      <sheetName val="Benchmarking_slides30"/>
      <sheetName val="Cover_page34"/>
      <sheetName val="Model_map34"/>
      <sheetName val="Meter_reading_calculation34"/>
      <sheetName val="Connection_revenue_calculatio34"/>
      <sheetName val="Revenue_calculation34"/>
      <sheetName val="Generation_by_technology34"/>
      <sheetName val="Sold_energy34"/>
      <sheetName val="Peak_load_calculation34"/>
      <sheetName val="Fuel_costs34"/>
      <sheetName val="Generation_by_fuel34"/>
      <sheetName val="Cost_outputs34"/>
      <sheetName val="RAB_Botom-up34"/>
      <sheetName val="Regulated_revenue34"/>
      <sheetName val="Balancing_fund34"/>
      <sheetName val="SEC_Financials34"/>
      <sheetName val="Financing_structure34"/>
      <sheetName val="SEC-CF_values34"/>
      <sheetName val="Fin__indicators34"/>
      <sheetName val="Charts_SEC_model34"/>
      <sheetName val="Benchmarking_slides34"/>
      <sheetName val="Cover_page31"/>
      <sheetName val="Model_map31"/>
      <sheetName val="Meter_reading_calculation31"/>
      <sheetName val="Connection_revenue_calculatio31"/>
      <sheetName val="Revenue_calculation31"/>
      <sheetName val="Generation_by_technology31"/>
      <sheetName val="Sold_energy31"/>
      <sheetName val="Peak_load_calculation31"/>
      <sheetName val="Fuel_costs31"/>
      <sheetName val="Generation_by_fuel31"/>
      <sheetName val="Cost_outputs31"/>
      <sheetName val="RAB_Botom-up31"/>
      <sheetName val="Regulated_revenue31"/>
      <sheetName val="Balancing_fund31"/>
      <sheetName val="SEC_Financials31"/>
      <sheetName val="Financing_structure31"/>
      <sheetName val="SEC-CF_values31"/>
      <sheetName val="Fin__indicators31"/>
      <sheetName val="Charts_SEC_model31"/>
      <sheetName val="Benchmarking_slides31"/>
      <sheetName val="ネット_CF➀7"/>
      <sheetName val="ネット_CF➂7"/>
      <sheetName val="STATUS_(2)7"/>
      <sheetName val="Cost_structure_of_WS7"/>
      <sheetName val="Cost_structure_of_BL7"/>
      <sheetName val="Cost_structure_of_SL7"/>
      <sheetName val="Cost_structure_(overview)7"/>
      <sheetName val="→back_data7"/>
      <sheetName val="Cost_Detail_(data_from_AGC)7"/>
      <sheetName val="Cost_Detail_(raw_data)7"/>
      <sheetName val="Cost_Detail_(revised)7"/>
      <sheetName val="Cost_structure_in_report7"/>
      <sheetName val="Profit_margin7"/>
      <sheetName val="Labor_cost_&amp;_depreciation_cost7"/>
      <sheetName val="Cost_structure_overview7"/>
      <sheetName val="Server_Master4"/>
      <sheetName val="Application_Master4"/>
      <sheetName val="App_to_server4"/>
      <sheetName val="Multiple_App_Servers_Timeline4"/>
      <sheetName val="Bringing_in_new_data4"/>
      <sheetName val="Pivot_Active4"/>
      <sheetName val="Operations_M6"/>
      <sheetName val="Operations_Y6"/>
      <sheetName val="Load_Factor_Y6"/>
      <sheetName val="Capacity_Adjustment_Y6"/>
      <sheetName val="Joint_Route_Costs_Y6"/>
      <sheetName val="BP_Summary6"/>
      <sheetName val="PPT_Board_Charts6"/>
      <sheetName val="PPT_BP_Charts6"/>
      <sheetName val="PPT_OPs_Charts6"/>
      <sheetName val="Tableaux_Axes4"/>
      <sheetName val="Cover_page32"/>
      <sheetName val="Model_map32"/>
      <sheetName val="Meter_reading_calculation32"/>
      <sheetName val="Connection_revenue_calculatio32"/>
      <sheetName val="Revenue_calculation32"/>
      <sheetName val="Generation_by_technology32"/>
      <sheetName val="Sold_energy32"/>
      <sheetName val="Peak_load_calculation32"/>
      <sheetName val="Fuel_costs32"/>
      <sheetName val="Generation_by_fuel32"/>
      <sheetName val="Cost_outputs32"/>
      <sheetName val="RAB_Botom-up32"/>
      <sheetName val="Regulated_revenue32"/>
      <sheetName val="Balancing_fund32"/>
      <sheetName val="SEC_Financials32"/>
      <sheetName val="Financing_structure32"/>
      <sheetName val="SEC-CF_values32"/>
      <sheetName val="Fin__indicators32"/>
      <sheetName val="Charts_SEC_model32"/>
      <sheetName val="Benchmarking_slides32"/>
      <sheetName val="Cover_page33"/>
      <sheetName val="Model_map33"/>
      <sheetName val="Meter_reading_calculation33"/>
      <sheetName val="Connection_revenue_calculatio33"/>
      <sheetName val="Revenue_calculation33"/>
      <sheetName val="Generation_by_technology33"/>
      <sheetName val="Sold_energy33"/>
      <sheetName val="Peak_load_calculation33"/>
      <sheetName val="Fuel_costs33"/>
      <sheetName val="Generation_by_fuel33"/>
      <sheetName val="Cost_outputs33"/>
      <sheetName val="RAB_Botom-up33"/>
      <sheetName val="Regulated_revenue33"/>
      <sheetName val="Balancing_fund33"/>
      <sheetName val="SEC_Financials33"/>
      <sheetName val="Financing_structure33"/>
      <sheetName val="SEC-CF_values33"/>
      <sheetName val="Fin__indicators33"/>
      <sheetName val="Charts_SEC_model33"/>
      <sheetName val="Benchmarking_slides33"/>
      <sheetName val="ネット_CF➀6"/>
      <sheetName val="ネット_CF➂6"/>
      <sheetName val="STATUS_(2)6"/>
      <sheetName val="Cost_structure_of_WS6"/>
      <sheetName val="Cost_structure_of_BL6"/>
      <sheetName val="Cost_structure_of_SL6"/>
      <sheetName val="Cost_structure_(overview)6"/>
      <sheetName val="→back_data6"/>
      <sheetName val="Cost_Detail_(data_from_AGC)6"/>
      <sheetName val="Cost_Detail_(raw_data)6"/>
      <sheetName val="Cost_Detail_(revised)6"/>
      <sheetName val="Cost_structure_in_report6"/>
      <sheetName val="Profit_margin6"/>
      <sheetName val="Labor_cost_&amp;_depreciation_cost6"/>
      <sheetName val="Cost_structure_overview6"/>
      <sheetName val="Server_Master3"/>
      <sheetName val="Application_Master3"/>
      <sheetName val="App_to_server3"/>
      <sheetName val="Multiple_App_Servers_Timeline3"/>
      <sheetName val="Bringing_in_new_data3"/>
      <sheetName val="Pivot_Active3"/>
      <sheetName val="Operations_M5"/>
      <sheetName val="Operations_Y5"/>
      <sheetName val="Load_Factor_Y5"/>
      <sheetName val="Capacity_Adjustment_Y5"/>
      <sheetName val="Joint_Route_Costs_Y5"/>
      <sheetName val="BP_Summary5"/>
      <sheetName val="PPT_Board_Charts5"/>
      <sheetName val="PPT_BP_Charts5"/>
      <sheetName val="PPT_OPs_Charts5"/>
      <sheetName val="Tableaux_Axes3"/>
      <sheetName val="Cover_page35"/>
      <sheetName val="Model_map35"/>
      <sheetName val="Meter_reading_calculation35"/>
      <sheetName val="Connection_revenue_calculatio35"/>
      <sheetName val="Revenue_calculation35"/>
      <sheetName val="Generation_by_technology35"/>
      <sheetName val="Sold_energy35"/>
      <sheetName val="Peak_load_calculation35"/>
      <sheetName val="Fuel_costs35"/>
      <sheetName val="Generation_by_fuel35"/>
      <sheetName val="Cost_outputs35"/>
      <sheetName val="RAB_Botom-up35"/>
      <sheetName val="Regulated_revenue35"/>
      <sheetName val="Balancing_fund35"/>
      <sheetName val="SEC_Financials35"/>
      <sheetName val="Financing_structure35"/>
      <sheetName val="SEC-CF_values35"/>
      <sheetName val="Fin__indicators35"/>
      <sheetName val="Charts_SEC_model35"/>
      <sheetName val="Benchmarking_slides35"/>
      <sheetName val="ネット_CF➀8"/>
      <sheetName val="ネット_CF➂8"/>
      <sheetName val="STATUS_(2)8"/>
      <sheetName val="Cost_structure_of_WS8"/>
      <sheetName val="Cost_structure_of_BL8"/>
      <sheetName val="Cost_structure_of_SL8"/>
      <sheetName val="Cost_structure_(overview)8"/>
      <sheetName val="→back_data8"/>
      <sheetName val="Cost_Detail_(data_from_AGC)8"/>
      <sheetName val="Cost_Detail_(raw_data)8"/>
      <sheetName val="Cost_Detail_(revised)8"/>
      <sheetName val="Cost_structure_in_report8"/>
      <sheetName val="Profit_margin8"/>
      <sheetName val="Labor_cost_&amp;_depreciation_cost8"/>
      <sheetName val="Cost_structure_overview8"/>
      <sheetName val="Server_Master5"/>
      <sheetName val="Application_Master5"/>
      <sheetName val="App_to_server5"/>
      <sheetName val="Multiple_App_Servers_Timeline5"/>
      <sheetName val="Bringing_in_new_data5"/>
      <sheetName val="Pivot_Active5"/>
      <sheetName val="Operations_M7"/>
      <sheetName val="Operations_Y7"/>
      <sheetName val="Load_Factor_Y7"/>
      <sheetName val="Capacity_Adjustment_Y7"/>
      <sheetName val="Joint_Route_Costs_Y7"/>
      <sheetName val="BP_Summary7"/>
      <sheetName val="PPT_Board_Charts7"/>
      <sheetName val="PPT_BP_Charts7"/>
      <sheetName val="PPT_OPs_Charts7"/>
      <sheetName val="Tableaux_Axes5"/>
      <sheetName val="Cover_page36"/>
      <sheetName val="Model_map36"/>
      <sheetName val="Meter_reading_calculation36"/>
      <sheetName val="Connection_revenue_calculatio36"/>
      <sheetName val="Revenue_calculation36"/>
      <sheetName val="Generation_by_technology36"/>
      <sheetName val="Sold_energy36"/>
      <sheetName val="Peak_load_calculation36"/>
      <sheetName val="Fuel_costs36"/>
      <sheetName val="Generation_by_fuel36"/>
      <sheetName val="Cost_outputs36"/>
      <sheetName val="RAB_Botom-up36"/>
      <sheetName val="Regulated_revenue36"/>
      <sheetName val="Balancing_fund36"/>
      <sheetName val="SEC_Financials36"/>
      <sheetName val="Financing_structure36"/>
      <sheetName val="SEC-CF_values36"/>
      <sheetName val="Fin__indicators36"/>
      <sheetName val="Charts_SEC_model36"/>
      <sheetName val="Benchmarking_slides36"/>
      <sheetName val="ネット_CF➀9"/>
      <sheetName val="ネット_CF➂9"/>
      <sheetName val="STATUS_(2)9"/>
      <sheetName val="Cost_structure_of_WS9"/>
      <sheetName val="Cost_structure_of_BL9"/>
      <sheetName val="Cost_structure_of_SL9"/>
      <sheetName val="Cost_structure_(overview)9"/>
      <sheetName val="→back_data9"/>
      <sheetName val="Cost_Detail_(data_from_AGC)9"/>
      <sheetName val="Cost_Detail_(raw_data)9"/>
      <sheetName val="Cost_Detail_(revised)9"/>
      <sheetName val="Cost_structure_in_report9"/>
      <sheetName val="Profit_margin9"/>
      <sheetName val="Labor_cost_&amp;_depreciation_cost9"/>
      <sheetName val="Cost_structure_overview9"/>
      <sheetName val="Server_Master6"/>
      <sheetName val="Application_Master6"/>
      <sheetName val="App_to_server6"/>
      <sheetName val="Multiple_App_Servers_Timeline6"/>
      <sheetName val="Bringing_in_new_data6"/>
      <sheetName val="Pivot_Active6"/>
      <sheetName val="Operations_M8"/>
      <sheetName val="Operations_Y8"/>
      <sheetName val="Load_Factor_Y8"/>
      <sheetName val="Capacity_Adjustment_Y8"/>
      <sheetName val="Joint_Route_Costs_Y8"/>
      <sheetName val="BP_Summary8"/>
      <sheetName val="PPT_Board_Charts8"/>
      <sheetName val="PPT_BP_Charts8"/>
      <sheetName val="PPT_OPs_Charts8"/>
      <sheetName val="Tableaux_Axes6"/>
      <sheetName val="Cover_page37"/>
      <sheetName val="Model_map37"/>
      <sheetName val="Meter_reading_calculation37"/>
      <sheetName val="Connection_revenue_calculatio37"/>
      <sheetName val="Revenue_calculation37"/>
      <sheetName val="Generation_by_technology37"/>
      <sheetName val="Sold_energy37"/>
      <sheetName val="Peak_load_calculation37"/>
      <sheetName val="Fuel_costs37"/>
      <sheetName val="Generation_by_fuel37"/>
      <sheetName val="Cost_outputs37"/>
      <sheetName val="RAB_Botom-up37"/>
      <sheetName val="Regulated_revenue37"/>
      <sheetName val="Balancing_fund37"/>
      <sheetName val="SEC_Financials37"/>
      <sheetName val="Financing_structure37"/>
      <sheetName val="SEC-CF_values37"/>
      <sheetName val="Fin__indicators37"/>
      <sheetName val="Charts_SEC_model37"/>
      <sheetName val="Benchmarking_slides37"/>
      <sheetName val="ネット_CF➀10"/>
      <sheetName val="ネット_CF➂10"/>
      <sheetName val="STATUS_(2)10"/>
      <sheetName val="Cost_structure_of_WS10"/>
      <sheetName val="Cost_structure_of_BL10"/>
      <sheetName val="Cost_structure_of_SL10"/>
      <sheetName val="Cost_structure_(overview)10"/>
      <sheetName val="→back_data10"/>
      <sheetName val="Cost_Detail_(data_from_AGC)10"/>
      <sheetName val="Cost_Detail_(raw_data)10"/>
      <sheetName val="Cost_Detail_(revised)10"/>
      <sheetName val="Cost_structure_in_report10"/>
      <sheetName val="Profit_margin10"/>
      <sheetName val="Labor_cost_&amp;_depreciation_cos10"/>
      <sheetName val="Cost_structure_overview10"/>
      <sheetName val="Server_Master7"/>
      <sheetName val="Application_Master7"/>
      <sheetName val="App_to_server7"/>
      <sheetName val="Multiple_App_Servers_Timeline7"/>
      <sheetName val="Bringing_in_new_data7"/>
      <sheetName val="Pivot_Active7"/>
      <sheetName val="Operations_M9"/>
      <sheetName val="Operations_Y9"/>
      <sheetName val="Load_Factor_Y9"/>
      <sheetName val="Capacity_Adjustment_Y9"/>
      <sheetName val="Joint_Route_Costs_Y9"/>
      <sheetName val="BP_Summary9"/>
      <sheetName val="PPT_Board_Charts9"/>
      <sheetName val="PPT_BP_Charts9"/>
      <sheetName val="PPT_OPs_Charts9"/>
      <sheetName val="Tableaux_Axes7"/>
      <sheetName val="Cover_page38"/>
      <sheetName val="Model_map38"/>
      <sheetName val="Meter_reading_calculation38"/>
      <sheetName val="Connection_revenue_calculatio38"/>
      <sheetName val="Revenue_calculation38"/>
      <sheetName val="Generation_by_technology38"/>
      <sheetName val="Sold_energy38"/>
      <sheetName val="Peak_load_calculation38"/>
      <sheetName val="Fuel_costs38"/>
      <sheetName val="Generation_by_fuel38"/>
      <sheetName val="Cost_outputs38"/>
      <sheetName val="RAB_Botom-up38"/>
      <sheetName val="Regulated_revenue38"/>
      <sheetName val="Balancing_fund38"/>
      <sheetName val="SEC_Financials38"/>
      <sheetName val="Financing_structure38"/>
      <sheetName val="SEC-CF_values38"/>
      <sheetName val="Fin__indicators38"/>
      <sheetName val="Charts_SEC_model38"/>
      <sheetName val="Benchmarking_slides38"/>
      <sheetName val="ネット_CF➀11"/>
      <sheetName val="ネット_CF➂11"/>
      <sheetName val="STATUS_(2)11"/>
      <sheetName val="Cost_structure_of_WS11"/>
      <sheetName val="Cost_structure_of_BL11"/>
      <sheetName val="Cost_structure_of_SL11"/>
      <sheetName val="Cost_structure_(overview)11"/>
      <sheetName val="→back_data11"/>
      <sheetName val="Cost_Detail_(data_from_AGC)11"/>
      <sheetName val="Cost_Detail_(raw_data)11"/>
      <sheetName val="Cost_Detail_(revised)11"/>
      <sheetName val="Cost_structure_in_report11"/>
      <sheetName val="Profit_margin11"/>
      <sheetName val="Labor_cost_&amp;_depreciation_cos11"/>
      <sheetName val="Cost_structure_overview11"/>
      <sheetName val="Server_Master8"/>
      <sheetName val="Application_Master8"/>
      <sheetName val="App_to_server8"/>
      <sheetName val="Multiple_App_Servers_Timeline8"/>
      <sheetName val="Bringing_in_new_data8"/>
      <sheetName val="Pivot_Active8"/>
      <sheetName val="Operations_M10"/>
      <sheetName val="Operations_Y10"/>
      <sheetName val="Load_Factor_Y10"/>
      <sheetName val="Capacity_Adjustment_Y10"/>
      <sheetName val="Joint_Route_Costs_Y10"/>
      <sheetName val="BP_Summary10"/>
      <sheetName val="PPT_Board_Charts10"/>
      <sheetName val="PPT_BP_Charts10"/>
      <sheetName val="PPT_OPs_Charts10"/>
      <sheetName val="Tableaux_Axes8"/>
      <sheetName val="Cover_page39"/>
      <sheetName val="Model_map39"/>
      <sheetName val="Meter_reading_calculation39"/>
      <sheetName val="Connection_revenue_calculatio39"/>
      <sheetName val="Revenue_calculation39"/>
      <sheetName val="Generation_by_technology39"/>
      <sheetName val="Sold_energy39"/>
      <sheetName val="Peak_load_calculation39"/>
      <sheetName val="Fuel_costs39"/>
      <sheetName val="Generation_by_fuel39"/>
      <sheetName val="Cost_outputs39"/>
      <sheetName val="RAB_Botom-up39"/>
      <sheetName val="Regulated_revenue39"/>
      <sheetName val="Balancing_fund39"/>
      <sheetName val="SEC_Financials39"/>
      <sheetName val="Financing_structure39"/>
      <sheetName val="SEC-CF_values39"/>
      <sheetName val="Fin__indicators39"/>
      <sheetName val="Charts_SEC_model39"/>
      <sheetName val="Benchmarking_slides39"/>
      <sheetName val="ネット_CF➀12"/>
      <sheetName val="ネット_CF➂12"/>
      <sheetName val="STATUS_(2)12"/>
      <sheetName val="Cost_structure_of_WS12"/>
      <sheetName val="Cost_structure_of_BL12"/>
      <sheetName val="Cost_structure_of_SL12"/>
      <sheetName val="Cost_structure_(overview)12"/>
      <sheetName val="→back_data12"/>
      <sheetName val="Cost_Detail_(data_from_AGC)12"/>
      <sheetName val="Cost_Detail_(raw_data)12"/>
      <sheetName val="Cost_Detail_(revised)12"/>
      <sheetName val="Cost_structure_in_report12"/>
      <sheetName val="Profit_margin12"/>
      <sheetName val="Labor_cost_&amp;_depreciation_cos12"/>
      <sheetName val="Cost_structure_overview12"/>
      <sheetName val="Server_Master9"/>
      <sheetName val="Application_Master9"/>
      <sheetName val="App_to_server9"/>
      <sheetName val="Multiple_App_Servers_Timeline9"/>
      <sheetName val="Bringing_in_new_data9"/>
      <sheetName val="Pivot_Active9"/>
      <sheetName val="Operations_M11"/>
      <sheetName val="Operations_Y11"/>
      <sheetName val="Load_Factor_Y11"/>
      <sheetName val="Capacity_Adjustment_Y11"/>
      <sheetName val="Joint_Route_Costs_Y11"/>
      <sheetName val="BP_Summary11"/>
      <sheetName val="PPT_Board_Charts11"/>
      <sheetName val="PPT_BP_Charts11"/>
      <sheetName val="PPT_OPs_Charts11"/>
      <sheetName val="Tableaux_Axes9"/>
      <sheetName val="Cover_page40"/>
      <sheetName val="Model_map40"/>
      <sheetName val="Meter_reading_calculation40"/>
      <sheetName val="Connection_revenue_calculatio40"/>
      <sheetName val="Revenue_calculation40"/>
      <sheetName val="Generation_by_technology40"/>
      <sheetName val="Sold_energy40"/>
      <sheetName val="Peak_load_calculation40"/>
      <sheetName val="Fuel_costs40"/>
      <sheetName val="Generation_by_fuel40"/>
      <sheetName val="Cost_outputs40"/>
      <sheetName val="RAB_Botom-up40"/>
      <sheetName val="Regulated_revenue40"/>
      <sheetName val="Balancing_fund40"/>
      <sheetName val="SEC_Financials40"/>
      <sheetName val="Financing_structure40"/>
      <sheetName val="SEC-CF_values40"/>
      <sheetName val="Fin__indicators40"/>
      <sheetName val="Charts_SEC_model40"/>
      <sheetName val="Benchmarking_slides40"/>
      <sheetName val="ネット_CF➀13"/>
      <sheetName val="ネット_CF➂13"/>
      <sheetName val="STATUS_(2)13"/>
      <sheetName val="Cost_structure_of_WS13"/>
      <sheetName val="Cost_structure_of_BL13"/>
      <sheetName val="Cost_structure_of_SL13"/>
      <sheetName val="Cost_structure_(overview)13"/>
      <sheetName val="→back_data13"/>
      <sheetName val="Cost_Detail_(data_from_AGC)13"/>
      <sheetName val="Cost_Detail_(raw_data)13"/>
      <sheetName val="Cost_Detail_(revised)13"/>
      <sheetName val="Cost_structure_in_report13"/>
      <sheetName val="Profit_margin13"/>
      <sheetName val="Labor_cost_&amp;_depreciation_cos13"/>
      <sheetName val="Cost_structure_overview13"/>
      <sheetName val="Server_Master10"/>
      <sheetName val="Application_Master10"/>
      <sheetName val="App_to_server10"/>
      <sheetName val="Multiple_App_Servers_Timeline10"/>
      <sheetName val="Bringing_in_new_data10"/>
      <sheetName val="Pivot_Active10"/>
      <sheetName val="Operations_M12"/>
      <sheetName val="Operations_Y12"/>
      <sheetName val="Load_Factor_Y12"/>
      <sheetName val="Capacity_Adjustment_Y12"/>
      <sheetName val="Joint_Route_Costs_Y12"/>
      <sheetName val="BP_Summary12"/>
      <sheetName val="PPT_Board_Charts12"/>
      <sheetName val="PPT_BP_Charts12"/>
      <sheetName val="PPT_OPs_Charts12"/>
      <sheetName val="Tableaux_Axes10"/>
      <sheetName val="Cover_page41"/>
      <sheetName val="Model_map41"/>
      <sheetName val="Meter_reading_calculation41"/>
      <sheetName val="Connection_revenue_calculatio41"/>
      <sheetName val="Revenue_calculation41"/>
      <sheetName val="Generation_by_technology41"/>
      <sheetName val="Sold_energy41"/>
      <sheetName val="Peak_load_calculation41"/>
      <sheetName val="Fuel_costs41"/>
      <sheetName val="Generation_by_fuel41"/>
      <sheetName val="Cost_outputs41"/>
      <sheetName val="RAB_Botom-up41"/>
      <sheetName val="Regulated_revenue41"/>
      <sheetName val="Balancing_fund41"/>
      <sheetName val="SEC_Financials41"/>
      <sheetName val="Financing_structure41"/>
      <sheetName val="SEC-CF_values41"/>
      <sheetName val="Fin__indicators41"/>
      <sheetName val="Charts_SEC_model41"/>
      <sheetName val="Benchmarking_slides41"/>
      <sheetName val="ネット_CF➀14"/>
      <sheetName val="ネット_CF➂14"/>
      <sheetName val="STATUS_(2)14"/>
      <sheetName val="Cost_structure_of_WS14"/>
      <sheetName val="Cost_structure_of_BL14"/>
      <sheetName val="Cost_structure_of_SL14"/>
      <sheetName val="Cost_structure_(overview)14"/>
      <sheetName val="→back_data14"/>
      <sheetName val="Cost_Detail_(data_from_AGC)14"/>
      <sheetName val="Cost_Detail_(raw_data)14"/>
      <sheetName val="Cost_Detail_(revised)14"/>
      <sheetName val="Cost_structure_in_report14"/>
      <sheetName val="Profit_margin14"/>
      <sheetName val="Labor_cost_&amp;_depreciation_cos14"/>
      <sheetName val="Cost_structure_overview14"/>
      <sheetName val="Server_Master11"/>
      <sheetName val="Application_Master11"/>
      <sheetName val="App_to_server11"/>
      <sheetName val="Multiple_App_Servers_Timeline11"/>
      <sheetName val="Bringing_in_new_data11"/>
      <sheetName val="Pivot_Active11"/>
      <sheetName val="Operations_M13"/>
      <sheetName val="Operations_Y13"/>
      <sheetName val="Load_Factor_Y13"/>
      <sheetName val="Capacity_Adjustment_Y13"/>
      <sheetName val="Joint_Route_Costs_Y13"/>
      <sheetName val="BP_Summary13"/>
      <sheetName val="PPT_Board_Charts13"/>
      <sheetName val="PPT_BP_Charts13"/>
      <sheetName val="PPT_OPs_Charts13"/>
      <sheetName val="Tableaux_Axes11"/>
      <sheetName val="Cover_page42"/>
      <sheetName val="Model_map42"/>
      <sheetName val="Meter_reading_calculation42"/>
      <sheetName val="Connection_revenue_calculatio42"/>
      <sheetName val="Revenue_calculation42"/>
      <sheetName val="Generation_by_technology42"/>
      <sheetName val="Sold_energy42"/>
      <sheetName val="Peak_load_calculation42"/>
      <sheetName val="Fuel_costs42"/>
      <sheetName val="Generation_by_fuel42"/>
      <sheetName val="Cost_outputs42"/>
      <sheetName val="RAB_Botom-up42"/>
      <sheetName val="Regulated_revenue42"/>
      <sheetName val="Balancing_fund42"/>
      <sheetName val="SEC_Financials42"/>
      <sheetName val="Financing_structure42"/>
      <sheetName val="SEC-CF_values42"/>
      <sheetName val="Fin__indicators42"/>
      <sheetName val="Charts_SEC_model42"/>
      <sheetName val="Benchmarking_slides42"/>
      <sheetName val="ネット_CF➀15"/>
      <sheetName val="ネット_CF➂15"/>
      <sheetName val="STATUS_(2)15"/>
      <sheetName val="Cost_structure_of_WS15"/>
      <sheetName val="Cost_structure_of_BL15"/>
      <sheetName val="Cost_structure_of_SL15"/>
      <sheetName val="Cost_structure_(overview)15"/>
      <sheetName val="→back_data15"/>
      <sheetName val="Cost_Detail_(data_from_AGC)15"/>
      <sheetName val="Cost_Detail_(raw_data)15"/>
      <sheetName val="Cost_Detail_(revised)15"/>
      <sheetName val="Cost_structure_in_report15"/>
      <sheetName val="Profit_margin15"/>
      <sheetName val="Labor_cost_&amp;_depreciation_cos15"/>
      <sheetName val="Cost_structure_overview15"/>
      <sheetName val="Server_Master12"/>
      <sheetName val="Application_Master12"/>
      <sheetName val="App_to_server12"/>
      <sheetName val="Multiple_App_Servers_Timeline12"/>
      <sheetName val="Bringing_in_new_data12"/>
      <sheetName val="Pivot_Active12"/>
      <sheetName val="Operations_M14"/>
      <sheetName val="Operations_Y14"/>
      <sheetName val="Load_Factor_Y14"/>
      <sheetName val="Capacity_Adjustment_Y14"/>
      <sheetName val="Joint_Route_Costs_Y14"/>
      <sheetName val="BP_Summary14"/>
      <sheetName val="PPT_Board_Charts14"/>
      <sheetName val="PPT_BP_Charts14"/>
      <sheetName val="PPT_OPs_Charts14"/>
      <sheetName val="Tableaux_Axes12"/>
      <sheetName val="Data (2)"/>
      <sheetName val="Cover_page44"/>
      <sheetName val="Model_map44"/>
      <sheetName val="Meter_reading_calculation44"/>
      <sheetName val="Connection_revenue_calculatio44"/>
      <sheetName val="Revenue_calculation44"/>
      <sheetName val="Generation_by_technology44"/>
      <sheetName val="Sold_energy44"/>
      <sheetName val="Peak_load_calculation44"/>
      <sheetName val="Fuel_costs44"/>
      <sheetName val="Generation_by_fuel44"/>
      <sheetName val="Cost_outputs44"/>
      <sheetName val="RAB_Botom-up44"/>
      <sheetName val="Regulated_revenue44"/>
      <sheetName val="Balancing_fund44"/>
      <sheetName val="SEC_Financials44"/>
      <sheetName val="Financing_structure44"/>
      <sheetName val="SEC-CF_values44"/>
      <sheetName val="Fin__indicators44"/>
      <sheetName val="Charts_SEC_model44"/>
      <sheetName val="Benchmarking_slides44"/>
      <sheetName val="Cover_page43"/>
      <sheetName val="Model_map43"/>
      <sheetName val="Meter_reading_calculation43"/>
      <sheetName val="Connection_revenue_calculatio43"/>
      <sheetName val="Revenue_calculation43"/>
      <sheetName val="Generation_by_technology43"/>
      <sheetName val="Sold_energy43"/>
      <sheetName val="Peak_load_calculation43"/>
      <sheetName val="Fuel_costs43"/>
      <sheetName val="Generation_by_fuel43"/>
      <sheetName val="Cost_outputs43"/>
      <sheetName val="RAB_Botom-up43"/>
      <sheetName val="Regulated_revenue43"/>
      <sheetName val="Balancing_fund43"/>
      <sheetName val="SEC_Financials43"/>
      <sheetName val="Financing_structure43"/>
      <sheetName val="SEC-CF_values43"/>
      <sheetName val="Fin__indicators43"/>
      <sheetName val="Charts_SEC_model43"/>
      <sheetName val="Benchmarking_slides43"/>
      <sheetName val="ネット_CF➀16"/>
      <sheetName val="ネット_CF➂16"/>
      <sheetName val="STATUS_(2)16"/>
      <sheetName val="Cost_structure_of_WS16"/>
      <sheetName val="Cost_structure_of_BL16"/>
      <sheetName val="Cost_structure_of_SL16"/>
      <sheetName val="Cost_structure_(overview)16"/>
      <sheetName val="→back_data16"/>
      <sheetName val="Cost_Detail_(data_from_AGC)16"/>
      <sheetName val="Cost_Detail_(raw_data)16"/>
      <sheetName val="Cost_Detail_(revised)16"/>
      <sheetName val="Cost_structure_in_report16"/>
      <sheetName val="Profit_margin16"/>
      <sheetName val="Labor_cost_&amp;_depreciation_cos16"/>
      <sheetName val="Cost_structure_overview16"/>
      <sheetName val="Server_Master13"/>
      <sheetName val="Application_Master13"/>
      <sheetName val="App_to_server13"/>
      <sheetName val="Multiple_App_Servers_Timeline13"/>
      <sheetName val="Bringing_in_new_data13"/>
      <sheetName val="Pivot_Active13"/>
      <sheetName val="Tableaux_Axes13"/>
      <sheetName val="Operations_M15"/>
      <sheetName val="Operations_Y15"/>
      <sheetName val="Load_Factor_Y15"/>
      <sheetName val="Capacity_Adjustment_Y15"/>
      <sheetName val="Joint_Route_Costs_Y15"/>
      <sheetName val="BP_Summary15"/>
      <sheetName val="PPT_Board_Charts15"/>
      <sheetName val="PPT_BP_Charts15"/>
      <sheetName val="PPT_OPs_Charts15"/>
      <sheetName val="Cover_page74"/>
      <sheetName val="Model_map74"/>
      <sheetName val="Meter_reading_calculation74"/>
      <sheetName val="Connection_revenue_calculatio74"/>
      <sheetName val="Revenue_calculation74"/>
      <sheetName val="Generation_by_technology74"/>
      <sheetName val="Sold_energy74"/>
      <sheetName val="Peak_load_calculation74"/>
      <sheetName val="Fuel_costs74"/>
      <sheetName val="Generation_by_fuel74"/>
      <sheetName val="Cost_outputs74"/>
      <sheetName val="RAB_Botom-up74"/>
      <sheetName val="Regulated_revenue74"/>
      <sheetName val="Balancing_fund74"/>
      <sheetName val="SEC_Financials74"/>
      <sheetName val="Financing_structure74"/>
      <sheetName val="SEC-CF_values74"/>
      <sheetName val="Fin__indicators74"/>
      <sheetName val="Charts_SEC_model74"/>
      <sheetName val="Benchmarking_slides74"/>
      <sheetName val="ネット_CF➀30"/>
      <sheetName val="ネット_CF➂30"/>
      <sheetName val="STATUS_(2)30"/>
      <sheetName val="Cost_structure_of_WS30"/>
      <sheetName val="Cost_structure_of_BL30"/>
      <sheetName val="Cost_structure_of_SL30"/>
      <sheetName val="Cost_structure_(overview)30"/>
      <sheetName val="→back_data30"/>
      <sheetName val="Cost_Detail_(data_from_AGC)30"/>
      <sheetName val="Cost_Detail_(raw_data)30"/>
      <sheetName val="Cost_Detail_(revised)30"/>
      <sheetName val="Cost_structure_in_report30"/>
      <sheetName val="Profit_margin30"/>
      <sheetName val="Labor_cost_&amp;_depreciation_cos30"/>
      <sheetName val="Cost_structure_overview30"/>
      <sheetName val="Server_Master27"/>
      <sheetName val="Application_Master27"/>
      <sheetName val="App_to_server27"/>
      <sheetName val="Multiple_App_Servers_Timeline27"/>
      <sheetName val="Bringing_in_new_data27"/>
      <sheetName val="Pivot_Active27"/>
      <sheetName val="Operations_M29"/>
      <sheetName val="Operations_Y29"/>
      <sheetName val="Load_Factor_Y29"/>
      <sheetName val="Capacity_Adjustment_Y29"/>
      <sheetName val="Joint_Route_Costs_Y29"/>
      <sheetName val="BP_Summary29"/>
      <sheetName val="PPT_Board_Charts29"/>
      <sheetName val="PPT_BP_Charts29"/>
      <sheetName val="PPT_OPs_Charts29"/>
      <sheetName val="Tableaux_Axes27"/>
      <sheetName val="Cover_page46"/>
      <sheetName val="Model_map46"/>
      <sheetName val="Meter_reading_calculation46"/>
      <sheetName val="Connection_revenue_calculatio46"/>
      <sheetName val="Revenue_calculation46"/>
      <sheetName val="Generation_by_technology46"/>
      <sheetName val="Sold_energy46"/>
      <sheetName val="Peak_load_calculation46"/>
      <sheetName val="Fuel_costs46"/>
      <sheetName val="Generation_by_fuel46"/>
      <sheetName val="Cost_outputs46"/>
      <sheetName val="RAB_Botom-up46"/>
      <sheetName val="Regulated_revenue46"/>
      <sheetName val="Balancing_fund46"/>
      <sheetName val="SEC_Financials46"/>
      <sheetName val="Financing_structure46"/>
      <sheetName val="SEC-CF_values46"/>
      <sheetName val="Fin__indicators46"/>
      <sheetName val="Charts_SEC_model46"/>
      <sheetName val="Benchmarking_slides46"/>
      <sheetName val="Cover_page45"/>
      <sheetName val="Model_map45"/>
      <sheetName val="Meter_reading_calculation45"/>
      <sheetName val="Connection_revenue_calculatio45"/>
      <sheetName val="Revenue_calculation45"/>
      <sheetName val="Generation_by_technology45"/>
      <sheetName val="Sold_energy45"/>
      <sheetName val="Peak_load_calculation45"/>
      <sheetName val="Fuel_costs45"/>
      <sheetName val="Generation_by_fuel45"/>
      <sheetName val="Cost_outputs45"/>
      <sheetName val="RAB_Botom-up45"/>
      <sheetName val="Regulated_revenue45"/>
      <sheetName val="Balancing_fund45"/>
      <sheetName val="SEC_Financials45"/>
      <sheetName val="Financing_structure45"/>
      <sheetName val="SEC-CF_values45"/>
      <sheetName val="Fin__indicators45"/>
      <sheetName val="Charts_SEC_model45"/>
      <sheetName val="Benchmarking_slides45"/>
      <sheetName val="Cover_page47"/>
      <sheetName val="Model_map47"/>
      <sheetName val="Meter_reading_calculation47"/>
      <sheetName val="Connection_revenue_calculatio47"/>
      <sheetName val="Revenue_calculation47"/>
      <sheetName val="Generation_by_technology47"/>
      <sheetName val="Sold_energy47"/>
      <sheetName val="Peak_load_calculation47"/>
      <sheetName val="Fuel_costs47"/>
      <sheetName val="Generation_by_fuel47"/>
      <sheetName val="Cost_outputs47"/>
      <sheetName val="RAB_Botom-up47"/>
      <sheetName val="Regulated_revenue47"/>
      <sheetName val="Balancing_fund47"/>
      <sheetName val="SEC_Financials47"/>
      <sheetName val="Financing_structure47"/>
      <sheetName val="SEC-CF_values47"/>
      <sheetName val="Fin__indicators47"/>
      <sheetName val="Charts_SEC_model47"/>
      <sheetName val="Benchmarking_slides47"/>
      <sheetName val="ネット_CF➀17"/>
      <sheetName val="ネット_CF➂17"/>
      <sheetName val="STATUS_(2)17"/>
      <sheetName val="Cost_structure_of_WS17"/>
      <sheetName val="Cost_structure_of_BL17"/>
      <sheetName val="Cost_structure_of_SL17"/>
      <sheetName val="Cost_structure_(overview)17"/>
      <sheetName val="→back_data17"/>
      <sheetName val="Cost_Detail_(data_from_AGC)17"/>
      <sheetName val="Cost_Detail_(raw_data)17"/>
      <sheetName val="Cost_Detail_(revised)17"/>
      <sheetName val="Cost_structure_in_report17"/>
      <sheetName val="Profit_margin17"/>
      <sheetName val="Labor_cost_&amp;_depreciation_cos17"/>
      <sheetName val="Cost_structure_overview17"/>
      <sheetName val="Server_Master14"/>
      <sheetName val="Application_Master14"/>
      <sheetName val="App_to_server14"/>
      <sheetName val="Multiple_App_Servers_Timeline14"/>
      <sheetName val="Bringing_in_new_data14"/>
      <sheetName val="Pivot_Active14"/>
      <sheetName val="Operations_M16"/>
      <sheetName val="Operations_Y16"/>
      <sheetName val="Load_Factor_Y16"/>
      <sheetName val="Capacity_Adjustment_Y16"/>
      <sheetName val="Joint_Route_Costs_Y16"/>
      <sheetName val="BP_Summary16"/>
      <sheetName val="PPT_Board_Charts16"/>
      <sheetName val="PPT_BP_Charts16"/>
      <sheetName val="PPT_OPs_Charts16"/>
      <sheetName val="Tableaux_Axes14"/>
      <sheetName val="Cover_page48"/>
      <sheetName val="Model_map48"/>
      <sheetName val="Meter_reading_calculation48"/>
      <sheetName val="Connection_revenue_calculatio48"/>
      <sheetName val="Revenue_calculation48"/>
      <sheetName val="Generation_by_technology48"/>
      <sheetName val="Sold_energy48"/>
      <sheetName val="Peak_load_calculation48"/>
      <sheetName val="Fuel_costs48"/>
      <sheetName val="Generation_by_fuel48"/>
      <sheetName val="Cost_outputs48"/>
      <sheetName val="RAB_Botom-up48"/>
      <sheetName val="Regulated_revenue48"/>
      <sheetName val="Balancing_fund48"/>
      <sheetName val="SEC_Financials48"/>
      <sheetName val="Financing_structure48"/>
      <sheetName val="SEC-CF_values48"/>
      <sheetName val="Fin__indicators48"/>
      <sheetName val="Charts_SEC_model48"/>
      <sheetName val="Benchmarking_slides48"/>
      <sheetName val="Cover_page49"/>
      <sheetName val="Model_map49"/>
      <sheetName val="Meter_reading_calculation49"/>
      <sheetName val="Connection_revenue_calculatio49"/>
      <sheetName val="Revenue_calculation49"/>
      <sheetName val="Generation_by_technology49"/>
      <sheetName val="Sold_energy49"/>
      <sheetName val="Peak_load_calculation49"/>
      <sheetName val="Fuel_costs49"/>
      <sheetName val="Generation_by_fuel49"/>
      <sheetName val="Cost_outputs49"/>
      <sheetName val="RAB_Botom-up49"/>
      <sheetName val="Regulated_revenue49"/>
      <sheetName val="Balancing_fund49"/>
      <sheetName val="SEC_Financials49"/>
      <sheetName val="Financing_structure49"/>
      <sheetName val="SEC-CF_values49"/>
      <sheetName val="Fin__indicators49"/>
      <sheetName val="Charts_SEC_model49"/>
      <sheetName val="Benchmarking_slides49"/>
      <sheetName val="Cover_page58"/>
      <sheetName val="Model_map58"/>
      <sheetName val="Meter_reading_calculation58"/>
      <sheetName val="Connection_revenue_calculatio58"/>
      <sheetName val="Revenue_calculation58"/>
      <sheetName val="Generation_by_technology58"/>
      <sheetName val="Sold_energy58"/>
      <sheetName val="Peak_load_calculation58"/>
      <sheetName val="Fuel_costs58"/>
      <sheetName val="Generation_by_fuel58"/>
      <sheetName val="Cost_outputs58"/>
      <sheetName val="RAB_Botom-up58"/>
      <sheetName val="Regulated_revenue58"/>
      <sheetName val="Balancing_fund58"/>
      <sheetName val="SEC_Financials58"/>
      <sheetName val="Financing_structure58"/>
      <sheetName val="SEC-CF_values58"/>
      <sheetName val="Fin__indicators58"/>
      <sheetName val="Charts_SEC_model58"/>
      <sheetName val="Benchmarking_slides58"/>
      <sheetName val="ネット_CF➀22"/>
      <sheetName val="ネット_CF➂22"/>
      <sheetName val="STATUS_(2)22"/>
      <sheetName val="Cost_structure_of_WS22"/>
      <sheetName val="Cost_structure_of_BL22"/>
      <sheetName val="Cost_structure_of_SL22"/>
      <sheetName val="Cost_structure_(overview)22"/>
      <sheetName val="→back_data22"/>
      <sheetName val="Cost_Detail_(data_from_AGC)22"/>
      <sheetName val="Cost_Detail_(raw_data)22"/>
      <sheetName val="Cost_Detail_(revised)22"/>
      <sheetName val="Cost_structure_in_report22"/>
      <sheetName val="Profit_margin22"/>
      <sheetName val="Labor_cost_&amp;_depreciation_cos22"/>
      <sheetName val="Cost_structure_overview22"/>
      <sheetName val="Server_Master19"/>
      <sheetName val="Application_Master19"/>
      <sheetName val="App_to_server19"/>
      <sheetName val="Multiple_App_Servers_Timeline19"/>
      <sheetName val="Bringing_in_new_data19"/>
      <sheetName val="Pivot_Active19"/>
      <sheetName val="Operations_M21"/>
      <sheetName val="Operations_Y21"/>
      <sheetName val="Load_Factor_Y21"/>
      <sheetName val="Capacity_Adjustment_Y21"/>
      <sheetName val="Joint_Route_Costs_Y21"/>
      <sheetName val="BP_Summary21"/>
      <sheetName val="PPT_Board_Charts21"/>
      <sheetName val="PPT_BP_Charts21"/>
      <sheetName val="PPT_OPs_Charts21"/>
      <sheetName val="Tableaux_Axes19"/>
      <sheetName val="Cover_page52"/>
      <sheetName val="Model_map52"/>
      <sheetName val="Meter_reading_calculation52"/>
      <sheetName val="Connection_revenue_calculatio52"/>
      <sheetName val="Revenue_calculation52"/>
      <sheetName val="Generation_by_technology52"/>
      <sheetName val="Sold_energy52"/>
      <sheetName val="Peak_load_calculation52"/>
      <sheetName val="Fuel_costs52"/>
      <sheetName val="Generation_by_fuel52"/>
      <sheetName val="Cost_outputs52"/>
      <sheetName val="RAB_Botom-up52"/>
      <sheetName val="Regulated_revenue52"/>
      <sheetName val="Balancing_fund52"/>
      <sheetName val="SEC_Financials52"/>
      <sheetName val="Financing_structure52"/>
      <sheetName val="SEC-CF_values52"/>
      <sheetName val="Fin__indicators52"/>
      <sheetName val="Charts_SEC_model52"/>
      <sheetName val="Benchmarking_slides52"/>
      <sheetName val="ネット_CF➀20"/>
      <sheetName val="ネット_CF➂20"/>
      <sheetName val="STATUS_(2)20"/>
      <sheetName val="Cost_structure_of_WS20"/>
      <sheetName val="Cost_structure_of_BL20"/>
      <sheetName val="Cost_structure_of_SL20"/>
      <sheetName val="Cost_structure_(overview)20"/>
      <sheetName val="→back_data20"/>
      <sheetName val="Cost_Detail_(data_from_AGC)20"/>
      <sheetName val="Cost_Detail_(raw_data)20"/>
      <sheetName val="Cost_Detail_(revised)20"/>
      <sheetName val="Cost_structure_in_report20"/>
      <sheetName val="Profit_margin20"/>
      <sheetName val="Labor_cost_&amp;_depreciation_cos20"/>
      <sheetName val="Cost_structure_overview20"/>
      <sheetName val="Server_Master17"/>
      <sheetName val="Application_Master17"/>
      <sheetName val="App_to_server17"/>
      <sheetName val="Multiple_App_Servers_Timeline17"/>
      <sheetName val="Bringing_in_new_data17"/>
      <sheetName val="Pivot_Active17"/>
      <sheetName val="Operations_M19"/>
      <sheetName val="Operations_Y19"/>
      <sheetName val="Load_Factor_Y19"/>
      <sheetName val="Capacity_Adjustment_Y19"/>
      <sheetName val="Joint_Route_Costs_Y19"/>
      <sheetName val="BP_Summary19"/>
      <sheetName val="PPT_Board_Charts19"/>
      <sheetName val="PPT_BP_Charts19"/>
      <sheetName val="PPT_OPs_Charts19"/>
      <sheetName val="Tableaux_Axes17"/>
      <sheetName val="Cover_page50"/>
      <sheetName val="Model_map50"/>
      <sheetName val="Meter_reading_calculation50"/>
      <sheetName val="Connection_revenue_calculatio50"/>
      <sheetName val="Revenue_calculation50"/>
      <sheetName val="Generation_by_technology50"/>
      <sheetName val="Sold_energy50"/>
      <sheetName val="Peak_load_calculation50"/>
      <sheetName val="Fuel_costs50"/>
      <sheetName val="Generation_by_fuel50"/>
      <sheetName val="Cost_outputs50"/>
      <sheetName val="RAB_Botom-up50"/>
      <sheetName val="Regulated_revenue50"/>
      <sheetName val="Balancing_fund50"/>
      <sheetName val="SEC_Financials50"/>
      <sheetName val="Financing_structure50"/>
      <sheetName val="SEC-CF_values50"/>
      <sheetName val="Fin__indicators50"/>
      <sheetName val="Charts_SEC_model50"/>
      <sheetName val="Benchmarking_slides50"/>
      <sheetName val="ネット_CF➀18"/>
      <sheetName val="ネット_CF➂18"/>
      <sheetName val="STATUS_(2)18"/>
      <sheetName val="Cost_structure_of_WS18"/>
      <sheetName val="Cost_structure_of_BL18"/>
      <sheetName val="Cost_structure_of_SL18"/>
      <sheetName val="Cost_structure_(overview)18"/>
      <sheetName val="→back_data18"/>
      <sheetName val="Cost_Detail_(data_from_AGC)18"/>
      <sheetName val="Cost_Detail_(raw_data)18"/>
      <sheetName val="Cost_Detail_(revised)18"/>
      <sheetName val="Cost_structure_in_report18"/>
      <sheetName val="Profit_margin18"/>
      <sheetName val="Labor_cost_&amp;_depreciation_cos18"/>
      <sheetName val="Cost_structure_overview18"/>
      <sheetName val="Server_Master15"/>
      <sheetName val="Application_Master15"/>
      <sheetName val="App_to_server15"/>
      <sheetName val="Multiple_App_Servers_Timeline15"/>
      <sheetName val="Bringing_in_new_data15"/>
      <sheetName val="Pivot_Active15"/>
      <sheetName val="Operations_M17"/>
      <sheetName val="Operations_Y17"/>
      <sheetName val="Load_Factor_Y17"/>
      <sheetName val="Capacity_Adjustment_Y17"/>
      <sheetName val="Joint_Route_Costs_Y17"/>
      <sheetName val="BP_Summary17"/>
      <sheetName val="PPT_Board_Charts17"/>
      <sheetName val="PPT_BP_Charts17"/>
      <sheetName val="PPT_OPs_Charts17"/>
      <sheetName val="Tableaux_Axes15"/>
      <sheetName val="Cover_page51"/>
      <sheetName val="Model_map51"/>
      <sheetName val="Meter_reading_calculation51"/>
      <sheetName val="Connection_revenue_calculatio51"/>
      <sheetName val="Revenue_calculation51"/>
      <sheetName val="Generation_by_technology51"/>
      <sheetName val="Sold_energy51"/>
      <sheetName val="Peak_load_calculation51"/>
      <sheetName val="Fuel_costs51"/>
      <sheetName val="Generation_by_fuel51"/>
      <sheetName val="Cost_outputs51"/>
      <sheetName val="RAB_Botom-up51"/>
      <sheetName val="Regulated_revenue51"/>
      <sheetName val="Balancing_fund51"/>
      <sheetName val="SEC_Financials51"/>
      <sheetName val="Financing_structure51"/>
      <sheetName val="SEC-CF_values51"/>
      <sheetName val="Fin__indicators51"/>
      <sheetName val="Charts_SEC_model51"/>
      <sheetName val="Benchmarking_slides51"/>
      <sheetName val="ネット_CF➀19"/>
      <sheetName val="ネット_CF➂19"/>
      <sheetName val="STATUS_(2)19"/>
      <sheetName val="Cost_structure_of_WS19"/>
      <sheetName val="Cost_structure_of_BL19"/>
      <sheetName val="Cost_structure_of_SL19"/>
      <sheetName val="Cost_structure_(overview)19"/>
      <sheetName val="→back_data19"/>
      <sheetName val="Cost_Detail_(data_from_AGC)19"/>
      <sheetName val="Cost_Detail_(raw_data)19"/>
      <sheetName val="Cost_Detail_(revised)19"/>
      <sheetName val="Cost_structure_in_report19"/>
      <sheetName val="Profit_margin19"/>
      <sheetName val="Labor_cost_&amp;_depreciation_cos19"/>
      <sheetName val="Cost_structure_overview19"/>
      <sheetName val="Server_Master16"/>
      <sheetName val="Application_Master16"/>
      <sheetName val="App_to_server16"/>
      <sheetName val="Multiple_App_Servers_Timeline16"/>
      <sheetName val="Bringing_in_new_data16"/>
      <sheetName val="Pivot_Active16"/>
      <sheetName val="Operations_M18"/>
      <sheetName val="Operations_Y18"/>
      <sheetName val="Load_Factor_Y18"/>
      <sheetName val="Capacity_Adjustment_Y18"/>
      <sheetName val="Joint_Route_Costs_Y18"/>
      <sheetName val="BP_Summary18"/>
      <sheetName val="PPT_Board_Charts18"/>
      <sheetName val="PPT_BP_Charts18"/>
      <sheetName val="PPT_OPs_Charts18"/>
      <sheetName val="Tableaux_Axes16"/>
      <sheetName val="Cover_page55"/>
      <sheetName val="Model_map55"/>
      <sheetName val="Meter_reading_calculation55"/>
      <sheetName val="Connection_revenue_calculatio55"/>
      <sheetName val="Revenue_calculation55"/>
      <sheetName val="Generation_by_technology55"/>
      <sheetName val="Sold_energy55"/>
      <sheetName val="Peak_load_calculation55"/>
      <sheetName val="Fuel_costs55"/>
      <sheetName val="Generation_by_fuel55"/>
      <sheetName val="Cost_outputs55"/>
      <sheetName val="RAB_Botom-up55"/>
      <sheetName val="Regulated_revenue55"/>
      <sheetName val="Balancing_fund55"/>
      <sheetName val="SEC_Financials55"/>
      <sheetName val="Financing_structure55"/>
      <sheetName val="SEC-CF_values55"/>
      <sheetName val="Fin__indicators55"/>
      <sheetName val="Charts_SEC_model55"/>
      <sheetName val="Benchmarking_slides55"/>
      <sheetName val="Cover_page53"/>
      <sheetName val="Model_map53"/>
      <sheetName val="Meter_reading_calculation53"/>
      <sheetName val="Connection_revenue_calculatio53"/>
      <sheetName val="Revenue_calculation53"/>
      <sheetName val="Generation_by_technology53"/>
      <sheetName val="Sold_energy53"/>
      <sheetName val="Peak_load_calculation53"/>
      <sheetName val="Fuel_costs53"/>
      <sheetName val="Generation_by_fuel53"/>
      <sheetName val="Cost_outputs53"/>
      <sheetName val="RAB_Botom-up53"/>
      <sheetName val="Regulated_revenue53"/>
      <sheetName val="Balancing_fund53"/>
      <sheetName val="SEC_Financials53"/>
      <sheetName val="Financing_structure53"/>
      <sheetName val="SEC-CF_values53"/>
      <sheetName val="Fin__indicators53"/>
      <sheetName val="Charts_SEC_model53"/>
      <sheetName val="Benchmarking_slides53"/>
      <sheetName val="Cover_page54"/>
      <sheetName val="Model_map54"/>
      <sheetName val="Meter_reading_calculation54"/>
      <sheetName val="Connection_revenue_calculatio54"/>
      <sheetName val="Revenue_calculation54"/>
      <sheetName val="Generation_by_technology54"/>
      <sheetName val="Sold_energy54"/>
      <sheetName val="Peak_load_calculation54"/>
      <sheetName val="Fuel_costs54"/>
      <sheetName val="Generation_by_fuel54"/>
      <sheetName val="Cost_outputs54"/>
      <sheetName val="RAB_Botom-up54"/>
      <sheetName val="Regulated_revenue54"/>
      <sheetName val="Balancing_fund54"/>
      <sheetName val="SEC_Financials54"/>
      <sheetName val="Financing_structure54"/>
      <sheetName val="SEC-CF_values54"/>
      <sheetName val="Fin__indicators54"/>
      <sheetName val="Charts_SEC_model54"/>
      <sheetName val="Benchmarking_slides54"/>
      <sheetName val="Cover_page56"/>
      <sheetName val="Model_map56"/>
      <sheetName val="Meter_reading_calculation56"/>
      <sheetName val="Connection_revenue_calculatio56"/>
      <sheetName val="Revenue_calculation56"/>
      <sheetName val="Generation_by_technology56"/>
      <sheetName val="Sold_energy56"/>
      <sheetName val="Peak_load_calculation56"/>
      <sheetName val="Fuel_costs56"/>
      <sheetName val="Generation_by_fuel56"/>
      <sheetName val="Cost_outputs56"/>
      <sheetName val="RAB_Botom-up56"/>
      <sheetName val="Regulated_revenue56"/>
      <sheetName val="Balancing_fund56"/>
      <sheetName val="SEC_Financials56"/>
      <sheetName val="Financing_structure56"/>
      <sheetName val="SEC-CF_values56"/>
      <sheetName val="Fin__indicators56"/>
      <sheetName val="Charts_SEC_model56"/>
      <sheetName val="Benchmarking_slides56"/>
      <sheetName val="Cover_page57"/>
      <sheetName val="Model_map57"/>
      <sheetName val="Meter_reading_calculation57"/>
      <sheetName val="Connection_revenue_calculatio57"/>
      <sheetName val="Revenue_calculation57"/>
      <sheetName val="Generation_by_technology57"/>
      <sheetName val="Sold_energy57"/>
      <sheetName val="Peak_load_calculation57"/>
      <sheetName val="Fuel_costs57"/>
      <sheetName val="Generation_by_fuel57"/>
      <sheetName val="Cost_outputs57"/>
      <sheetName val="RAB_Botom-up57"/>
      <sheetName val="Regulated_revenue57"/>
      <sheetName val="Balancing_fund57"/>
      <sheetName val="SEC_Financials57"/>
      <sheetName val="Financing_structure57"/>
      <sheetName val="SEC-CF_values57"/>
      <sheetName val="Fin__indicators57"/>
      <sheetName val="Charts_SEC_model57"/>
      <sheetName val="Benchmarking_slides57"/>
      <sheetName val="ネット_CF➀21"/>
      <sheetName val="ネット_CF➂21"/>
      <sheetName val="STATUS_(2)21"/>
      <sheetName val="Cost_structure_of_WS21"/>
      <sheetName val="Cost_structure_of_BL21"/>
      <sheetName val="Cost_structure_of_SL21"/>
      <sheetName val="Cost_structure_(overview)21"/>
      <sheetName val="→back_data21"/>
      <sheetName val="Cost_Detail_(data_from_AGC)21"/>
      <sheetName val="Cost_Detail_(raw_data)21"/>
      <sheetName val="Cost_Detail_(revised)21"/>
      <sheetName val="Cost_structure_in_report21"/>
      <sheetName val="Profit_margin21"/>
      <sheetName val="Labor_cost_&amp;_depreciation_cos21"/>
      <sheetName val="Cost_structure_overview21"/>
      <sheetName val="Server_Master18"/>
      <sheetName val="Application_Master18"/>
      <sheetName val="App_to_server18"/>
      <sheetName val="Multiple_App_Servers_Timeline18"/>
      <sheetName val="Bringing_in_new_data18"/>
      <sheetName val="Pivot_Active18"/>
      <sheetName val="Operations_M20"/>
      <sheetName val="Operations_Y20"/>
      <sheetName val="Load_Factor_Y20"/>
      <sheetName val="Capacity_Adjustment_Y20"/>
      <sheetName val="Joint_Route_Costs_Y20"/>
      <sheetName val="BP_Summary20"/>
      <sheetName val="PPT_Board_Charts20"/>
      <sheetName val="PPT_BP_Charts20"/>
      <sheetName val="PPT_OPs_Charts20"/>
      <sheetName val="Tableaux_Axes18"/>
      <sheetName val="Cover_page66"/>
      <sheetName val="Model_map66"/>
      <sheetName val="Meter_reading_calculation66"/>
      <sheetName val="Connection_revenue_calculatio66"/>
      <sheetName val="Revenue_calculation66"/>
      <sheetName val="Generation_by_technology66"/>
      <sheetName val="Sold_energy66"/>
      <sheetName val="Peak_load_calculation66"/>
      <sheetName val="Fuel_costs66"/>
      <sheetName val="Generation_by_fuel66"/>
      <sheetName val="Cost_outputs66"/>
      <sheetName val="RAB_Botom-up66"/>
      <sheetName val="Regulated_revenue66"/>
      <sheetName val="Balancing_fund66"/>
      <sheetName val="SEC_Financials66"/>
      <sheetName val="Financing_structure66"/>
      <sheetName val="SEC-CF_values66"/>
      <sheetName val="Fin__indicators66"/>
      <sheetName val="Charts_SEC_model66"/>
      <sheetName val="Benchmarking_slides66"/>
      <sheetName val="Cover_page61"/>
      <sheetName val="Model_map61"/>
      <sheetName val="Meter_reading_calculation61"/>
      <sheetName val="Connection_revenue_calculatio61"/>
      <sheetName val="Revenue_calculation61"/>
      <sheetName val="Generation_by_technology61"/>
      <sheetName val="Sold_energy61"/>
      <sheetName val="Peak_load_calculation61"/>
      <sheetName val="Fuel_costs61"/>
      <sheetName val="Generation_by_fuel61"/>
      <sheetName val="Cost_outputs61"/>
      <sheetName val="RAB_Botom-up61"/>
      <sheetName val="Regulated_revenue61"/>
      <sheetName val="Balancing_fund61"/>
      <sheetName val="SEC_Financials61"/>
      <sheetName val="Financing_structure61"/>
      <sheetName val="SEC-CF_values61"/>
      <sheetName val="Fin__indicators61"/>
      <sheetName val="Charts_SEC_model61"/>
      <sheetName val="Benchmarking_slides61"/>
      <sheetName val="ネット_CF➀24"/>
      <sheetName val="ネット_CF➂24"/>
      <sheetName val="STATUS_(2)24"/>
      <sheetName val="Cost_structure_of_WS24"/>
      <sheetName val="Cost_structure_of_BL24"/>
      <sheetName val="Cost_structure_of_SL24"/>
      <sheetName val="Cost_structure_(overview)24"/>
      <sheetName val="→back_data24"/>
      <sheetName val="Cost_Detail_(data_from_AGC)24"/>
      <sheetName val="Cost_Detail_(raw_data)24"/>
      <sheetName val="Cost_Detail_(revised)24"/>
      <sheetName val="Cost_structure_in_report24"/>
      <sheetName val="Profit_margin24"/>
      <sheetName val="Labor_cost_&amp;_depreciation_cos24"/>
      <sheetName val="Cost_structure_overview24"/>
      <sheetName val="Server_Master21"/>
      <sheetName val="Application_Master21"/>
      <sheetName val="App_to_server21"/>
      <sheetName val="Multiple_App_Servers_Timeline21"/>
      <sheetName val="Bringing_in_new_data21"/>
      <sheetName val="Pivot_Active21"/>
      <sheetName val="Operations_M23"/>
      <sheetName val="Operations_Y23"/>
      <sheetName val="Load_Factor_Y23"/>
      <sheetName val="Capacity_Adjustment_Y23"/>
      <sheetName val="Joint_Route_Costs_Y23"/>
      <sheetName val="BP_Summary23"/>
      <sheetName val="PPT_Board_Charts23"/>
      <sheetName val="PPT_BP_Charts23"/>
      <sheetName val="PPT_OPs_Charts23"/>
      <sheetName val="Tableaux_Axes21"/>
      <sheetName val="Cover_page60"/>
      <sheetName val="Model_map60"/>
      <sheetName val="Meter_reading_calculation60"/>
      <sheetName val="Connection_revenue_calculatio60"/>
      <sheetName val="Revenue_calculation60"/>
      <sheetName val="Generation_by_technology60"/>
      <sheetName val="Sold_energy60"/>
      <sheetName val="Peak_load_calculation60"/>
      <sheetName val="Fuel_costs60"/>
      <sheetName val="Generation_by_fuel60"/>
      <sheetName val="Cost_outputs60"/>
      <sheetName val="RAB_Botom-up60"/>
      <sheetName val="Regulated_revenue60"/>
      <sheetName val="Balancing_fund60"/>
      <sheetName val="SEC_Financials60"/>
      <sheetName val="Financing_structure60"/>
      <sheetName val="SEC-CF_values60"/>
      <sheetName val="Fin__indicators60"/>
      <sheetName val="Charts_SEC_model60"/>
      <sheetName val="Benchmarking_slides60"/>
      <sheetName val="ネット_CF➀23"/>
      <sheetName val="ネット_CF➂23"/>
      <sheetName val="STATUS_(2)23"/>
      <sheetName val="Cost_structure_of_WS23"/>
      <sheetName val="Cost_structure_of_BL23"/>
      <sheetName val="Cost_structure_of_SL23"/>
      <sheetName val="Cost_structure_(overview)23"/>
      <sheetName val="→back_data23"/>
      <sheetName val="Cost_Detail_(data_from_AGC)23"/>
      <sheetName val="Cost_Detail_(raw_data)23"/>
      <sheetName val="Cost_Detail_(revised)23"/>
      <sheetName val="Cost_structure_in_report23"/>
      <sheetName val="Profit_margin23"/>
      <sheetName val="Labor_cost_&amp;_depreciation_cos23"/>
      <sheetName val="Cost_structure_overview23"/>
      <sheetName val="Server_Master20"/>
      <sheetName val="Application_Master20"/>
      <sheetName val="App_to_server20"/>
      <sheetName val="Multiple_App_Servers_Timeline20"/>
      <sheetName val="Bringing_in_new_data20"/>
      <sheetName val="Pivot_Active20"/>
      <sheetName val="Operations_M22"/>
      <sheetName val="Operations_Y22"/>
      <sheetName val="Load_Factor_Y22"/>
      <sheetName val="Capacity_Adjustment_Y22"/>
      <sheetName val="Joint_Route_Costs_Y22"/>
      <sheetName val="BP_Summary22"/>
      <sheetName val="PPT_Board_Charts22"/>
      <sheetName val="PPT_BP_Charts22"/>
      <sheetName val="PPT_OPs_Charts22"/>
      <sheetName val="Tableaux_Axes20"/>
      <sheetName val="Cover_page59"/>
      <sheetName val="Model_map59"/>
      <sheetName val="Meter_reading_calculation59"/>
      <sheetName val="Connection_revenue_calculatio59"/>
      <sheetName val="Revenue_calculation59"/>
      <sheetName val="Generation_by_technology59"/>
      <sheetName val="Sold_energy59"/>
      <sheetName val="Peak_load_calculation59"/>
      <sheetName val="Fuel_costs59"/>
      <sheetName val="Generation_by_fuel59"/>
      <sheetName val="Cost_outputs59"/>
      <sheetName val="RAB_Botom-up59"/>
      <sheetName val="Regulated_revenue59"/>
      <sheetName val="Balancing_fund59"/>
      <sheetName val="SEC_Financials59"/>
      <sheetName val="Financing_structure59"/>
      <sheetName val="SEC-CF_values59"/>
      <sheetName val="Fin__indicators59"/>
      <sheetName val="Charts_SEC_model59"/>
      <sheetName val="Benchmarking_slides59"/>
      <sheetName val="Cover_page62"/>
      <sheetName val="Model_map62"/>
      <sheetName val="Meter_reading_calculation62"/>
      <sheetName val="Connection_revenue_calculatio62"/>
      <sheetName val="Revenue_calculation62"/>
      <sheetName val="Generation_by_technology62"/>
      <sheetName val="Sold_energy62"/>
      <sheetName val="Peak_load_calculation62"/>
      <sheetName val="Fuel_costs62"/>
      <sheetName val="Generation_by_fuel62"/>
      <sheetName val="Cost_outputs62"/>
      <sheetName val="RAB_Botom-up62"/>
      <sheetName val="Regulated_revenue62"/>
      <sheetName val="Balancing_fund62"/>
      <sheetName val="SEC_Financials62"/>
      <sheetName val="Financing_structure62"/>
      <sheetName val="SEC-CF_values62"/>
      <sheetName val="Fin__indicators62"/>
      <sheetName val="Charts_SEC_model62"/>
      <sheetName val="Benchmarking_slides62"/>
      <sheetName val="Cover_page63"/>
      <sheetName val="Model_map63"/>
      <sheetName val="Meter_reading_calculation63"/>
      <sheetName val="Connection_revenue_calculatio63"/>
      <sheetName val="Revenue_calculation63"/>
      <sheetName val="Generation_by_technology63"/>
      <sheetName val="Sold_energy63"/>
      <sheetName val="Peak_load_calculation63"/>
      <sheetName val="Fuel_costs63"/>
      <sheetName val="Generation_by_fuel63"/>
      <sheetName val="Cost_outputs63"/>
      <sheetName val="RAB_Botom-up63"/>
      <sheetName val="Regulated_revenue63"/>
      <sheetName val="Balancing_fund63"/>
      <sheetName val="SEC_Financials63"/>
      <sheetName val="Financing_structure63"/>
      <sheetName val="SEC-CF_values63"/>
      <sheetName val="Fin__indicators63"/>
      <sheetName val="Charts_SEC_model63"/>
      <sheetName val="Benchmarking_slides63"/>
      <sheetName val="Cover_page64"/>
      <sheetName val="Model_map64"/>
      <sheetName val="Meter_reading_calculation64"/>
      <sheetName val="Connection_revenue_calculatio64"/>
      <sheetName val="Revenue_calculation64"/>
      <sheetName val="Generation_by_technology64"/>
      <sheetName val="Sold_energy64"/>
      <sheetName val="Peak_load_calculation64"/>
      <sheetName val="Fuel_costs64"/>
      <sheetName val="Generation_by_fuel64"/>
      <sheetName val="Cost_outputs64"/>
      <sheetName val="RAB_Botom-up64"/>
      <sheetName val="Regulated_revenue64"/>
      <sheetName val="Balancing_fund64"/>
      <sheetName val="SEC_Financials64"/>
      <sheetName val="Financing_structure64"/>
      <sheetName val="SEC-CF_values64"/>
      <sheetName val="Fin__indicators64"/>
      <sheetName val="Charts_SEC_model64"/>
      <sheetName val="Benchmarking_slides64"/>
      <sheetName val="ネット_CF➀25"/>
      <sheetName val="ネット_CF➂25"/>
      <sheetName val="STATUS_(2)25"/>
      <sheetName val="Cost_structure_of_WS25"/>
      <sheetName val="Cost_structure_of_BL25"/>
      <sheetName val="Cost_structure_of_SL25"/>
      <sheetName val="Cost_structure_(overview)25"/>
      <sheetName val="→back_data25"/>
      <sheetName val="Cost_Detail_(data_from_AGC)25"/>
      <sheetName val="Cost_Detail_(raw_data)25"/>
      <sheetName val="Cost_Detail_(revised)25"/>
      <sheetName val="Cost_structure_in_report25"/>
      <sheetName val="Profit_margin25"/>
      <sheetName val="Labor_cost_&amp;_depreciation_cos25"/>
      <sheetName val="Cost_structure_overview25"/>
      <sheetName val="Server_Master22"/>
      <sheetName val="Application_Master22"/>
      <sheetName val="App_to_server22"/>
      <sheetName val="Multiple_App_Servers_Timeline22"/>
      <sheetName val="Bringing_in_new_data22"/>
      <sheetName val="Pivot_Active22"/>
      <sheetName val="Operations_M24"/>
      <sheetName val="Operations_Y24"/>
      <sheetName val="Load_Factor_Y24"/>
      <sheetName val="Capacity_Adjustment_Y24"/>
      <sheetName val="Joint_Route_Costs_Y24"/>
      <sheetName val="BP_Summary24"/>
      <sheetName val="PPT_Board_Charts24"/>
      <sheetName val="PPT_BP_Charts24"/>
      <sheetName val="PPT_OPs_Charts24"/>
      <sheetName val="Tableaux_Axes22"/>
      <sheetName val="Cover_page65"/>
      <sheetName val="Model_map65"/>
      <sheetName val="Meter_reading_calculation65"/>
      <sheetName val="Connection_revenue_calculatio65"/>
      <sheetName val="Revenue_calculation65"/>
      <sheetName val="Generation_by_technology65"/>
      <sheetName val="Sold_energy65"/>
      <sheetName val="Peak_load_calculation65"/>
      <sheetName val="Fuel_costs65"/>
      <sheetName val="Generation_by_fuel65"/>
      <sheetName val="Cost_outputs65"/>
      <sheetName val="RAB_Botom-up65"/>
      <sheetName val="Regulated_revenue65"/>
      <sheetName val="Balancing_fund65"/>
      <sheetName val="SEC_Financials65"/>
      <sheetName val="Financing_structure65"/>
      <sheetName val="SEC-CF_values65"/>
      <sheetName val="Fin__indicators65"/>
      <sheetName val="Charts_SEC_model65"/>
      <sheetName val="Benchmarking_slides65"/>
      <sheetName val="Cover_page67"/>
      <sheetName val="Model_map67"/>
      <sheetName val="Meter_reading_calculation67"/>
      <sheetName val="Connection_revenue_calculatio67"/>
      <sheetName val="Revenue_calculation67"/>
      <sheetName val="Generation_by_technology67"/>
      <sheetName val="Sold_energy67"/>
      <sheetName val="Peak_load_calculation67"/>
      <sheetName val="Fuel_costs67"/>
      <sheetName val="Generation_by_fuel67"/>
      <sheetName val="Cost_outputs67"/>
      <sheetName val="RAB_Botom-up67"/>
      <sheetName val="Regulated_revenue67"/>
      <sheetName val="Balancing_fund67"/>
      <sheetName val="SEC_Financials67"/>
      <sheetName val="Financing_structure67"/>
      <sheetName val="SEC-CF_values67"/>
      <sheetName val="Fin__indicators67"/>
      <sheetName val="Charts_SEC_model67"/>
      <sheetName val="Benchmarking_slides67"/>
      <sheetName val="Cover_page72"/>
      <sheetName val="Model_map72"/>
      <sheetName val="Meter_reading_calculation72"/>
      <sheetName val="Connection_revenue_calculatio72"/>
      <sheetName val="Revenue_calculation72"/>
      <sheetName val="Generation_by_technology72"/>
      <sheetName val="Sold_energy72"/>
      <sheetName val="Peak_load_calculation72"/>
      <sheetName val="Fuel_costs72"/>
      <sheetName val="Generation_by_fuel72"/>
      <sheetName val="Cost_outputs72"/>
      <sheetName val="RAB_Botom-up72"/>
      <sheetName val="Regulated_revenue72"/>
      <sheetName val="Balancing_fund72"/>
      <sheetName val="SEC_Financials72"/>
      <sheetName val="Financing_structure72"/>
      <sheetName val="SEC-CF_values72"/>
      <sheetName val="Fin__indicators72"/>
      <sheetName val="Charts_SEC_model72"/>
      <sheetName val="Benchmarking_slides72"/>
      <sheetName val="ネット_CF➀28"/>
      <sheetName val="ネット_CF➂28"/>
      <sheetName val="STATUS_(2)28"/>
      <sheetName val="Cost_structure_of_WS28"/>
      <sheetName val="Cost_structure_of_BL28"/>
      <sheetName val="Cost_structure_of_SL28"/>
      <sheetName val="Cost_structure_(overview)28"/>
      <sheetName val="→back_data28"/>
      <sheetName val="Cost_Detail_(data_from_AGC)28"/>
      <sheetName val="Cost_Detail_(raw_data)28"/>
      <sheetName val="Cost_Detail_(revised)28"/>
      <sheetName val="Cost_structure_in_report28"/>
      <sheetName val="Profit_margin28"/>
      <sheetName val="Labor_cost_&amp;_depreciation_cos28"/>
      <sheetName val="Cost_structure_overview28"/>
      <sheetName val="Server_Master25"/>
      <sheetName val="Application_Master25"/>
      <sheetName val="App_to_server25"/>
      <sheetName val="Multiple_App_Servers_Timeline25"/>
      <sheetName val="Bringing_in_new_data25"/>
      <sheetName val="Pivot_Active25"/>
      <sheetName val="Operations_M27"/>
      <sheetName val="Operations_Y27"/>
      <sheetName val="Load_Factor_Y27"/>
      <sheetName val="Capacity_Adjustment_Y27"/>
      <sheetName val="Joint_Route_Costs_Y27"/>
      <sheetName val="BP_Summary27"/>
      <sheetName val="PPT_Board_Charts27"/>
      <sheetName val="PPT_BP_Charts27"/>
      <sheetName val="PPT_OPs_Charts27"/>
      <sheetName val="Tableaux_Axes25"/>
      <sheetName val="Cover_page71"/>
      <sheetName val="Model_map71"/>
      <sheetName val="Meter_reading_calculation71"/>
      <sheetName val="Connection_revenue_calculatio71"/>
      <sheetName val="Revenue_calculation71"/>
      <sheetName val="Generation_by_technology71"/>
      <sheetName val="Sold_energy71"/>
      <sheetName val="Peak_load_calculation71"/>
      <sheetName val="Fuel_costs71"/>
      <sheetName val="Generation_by_fuel71"/>
      <sheetName val="Cost_outputs71"/>
      <sheetName val="RAB_Botom-up71"/>
      <sheetName val="Regulated_revenue71"/>
      <sheetName val="Balancing_fund71"/>
      <sheetName val="SEC_Financials71"/>
      <sheetName val="Financing_structure71"/>
      <sheetName val="SEC-CF_values71"/>
      <sheetName val="Fin__indicators71"/>
      <sheetName val="Charts_SEC_model71"/>
      <sheetName val="Benchmarking_slides71"/>
      <sheetName val="ネット_CF➀27"/>
      <sheetName val="ネット_CF➂27"/>
      <sheetName val="STATUS_(2)27"/>
      <sheetName val="Cost_structure_of_WS27"/>
      <sheetName val="Cost_structure_of_BL27"/>
      <sheetName val="Cost_structure_of_SL27"/>
      <sheetName val="Cost_structure_(overview)27"/>
      <sheetName val="→back_data27"/>
      <sheetName val="Cost_Detail_(data_from_AGC)27"/>
      <sheetName val="Cost_Detail_(raw_data)27"/>
      <sheetName val="Cost_Detail_(revised)27"/>
      <sheetName val="Cost_structure_in_report27"/>
      <sheetName val="Profit_margin27"/>
      <sheetName val="Labor_cost_&amp;_depreciation_cos27"/>
      <sheetName val="Cost_structure_overview27"/>
      <sheetName val="Server_Master24"/>
      <sheetName val="Application_Master24"/>
      <sheetName val="App_to_server24"/>
      <sheetName val="Multiple_App_Servers_Timeline24"/>
      <sheetName val="Bringing_in_new_data24"/>
      <sheetName val="Pivot_Active24"/>
      <sheetName val="Operations_M26"/>
      <sheetName val="Operations_Y26"/>
      <sheetName val="Load_Factor_Y26"/>
      <sheetName val="Capacity_Adjustment_Y26"/>
      <sheetName val="Joint_Route_Costs_Y26"/>
      <sheetName val="BP_Summary26"/>
      <sheetName val="PPT_Board_Charts26"/>
      <sheetName val="PPT_BP_Charts26"/>
      <sheetName val="PPT_OPs_Charts26"/>
      <sheetName val="Tableaux_Axes24"/>
      <sheetName val="Cover_page70"/>
      <sheetName val="Model_map70"/>
      <sheetName val="Meter_reading_calculation70"/>
      <sheetName val="Connection_revenue_calculatio70"/>
      <sheetName val="Revenue_calculation70"/>
      <sheetName val="Generation_by_technology70"/>
      <sheetName val="Sold_energy70"/>
      <sheetName val="Peak_load_calculation70"/>
      <sheetName val="Fuel_costs70"/>
      <sheetName val="Generation_by_fuel70"/>
      <sheetName val="Cost_outputs70"/>
      <sheetName val="RAB_Botom-up70"/>
      <sheetName val="Regulated_revenue70"/>
      <sheetName val="Balancing_fund70"/>
      <sheetName val="SEC_Financials70"/>
      <sheetName val="Financing_structure70"/>
      <sheetName val="SEC-CF_values70"/>
      <sheetName val="Fin__indicators70"/>
      <sheetName val="Charts_SEC_model70"/>
      <sheetName val="Benchmarking_slides70"/>
      <sheetName val="Cover_page68"/>
      <sheetName val="Model_map68"/>
      <sheetName val="Meter_reading_calculation68"/>
      <sheetName val="Connection_revenue_calculatio68"/>
      <sheetName val="Revenue_calculation68"/>
      <sheetName val="Generation_by_technology68"/>
      <sheetName val="Sold_energy68"/>
      <sheetName val="Peak_load_calculation68"/>
      <sheetName val="Fuel_costs68"/>
      <sheetName val="Generation_by_fuel68"/>
      <sheetName val="Cost_outputs68"/>
      <sheetName val="RAB_Botom-up68"/>
      <sheetName val="Regulated_revenue68"/>
      <sheetName val="Balancing_fund68"/>
      <sheetName val="SEC_Financials68"/>
      <sheetName val="Financing_structure68"/>
      <sheetName val="SEC-CF_values68"/>
      <sheetName val="Fin__indicators68"/>
      <sheetName val="Charts_SEC_model68"/>
      <sheetName val="Benchmarking_slides68"/>
      <sheetName val="ネット_CF➀26"/>
      <sheetName val="ネット_CF➂26"/>
      <sheetName val="STATUS_(2)26"/>
      <sheetName val="Cost_structure_of_WS26"/>
      <sheetName val="Cost_structure_of_BL26"/>
      <sheetName val="Cost_structure_of_SL26"/>
      <sheetName val="Cost_structure_(overview)26"/>
      <sheetName val="→back_data26"/>
      <sheetName val="Cost_Detail_(data_from_AGC)26"/>
      <sheetName val="Cost_Detail_(raw_data)26"/>
      <sheetName val="Cost_Detail_(revised)26"/>
      <sheetName val="Cost_structure_in_report26"/>
      <sheetName val="Profit_margin26"/>
      <sheetName val="Labor_cost_&amp;_depreciation_cos26"/>
      <sheetName val="Cost_structure_overview26"/>
      <sheetName val="Server_Master23"/>
      <sheetName val="Application_Master23"/>
      <sheetName val="App_to_server23"/>
      <sheetName val="Multiple_App_Servers_Timeline23"/>
      <sheetName val="Bringing_in_new_data23"/>
      <sheetName val="Pivot_Active23"/>
      <sheetName val="Operations_M25"/>
      <sheetName val="Operations_Y25"/>
      <sheetName val="Load_Factor_Y25"/>
      <sheetName val="Capacity_Adjustment_Y25"/>
      <sheetName val="Joint_Route_Costs_Y25"/>
      <sheetName val="BP_Summary25"/>
      <sheetName val="PPT_Board_Charts25"/>
      <sheetName val="PPT_BP_Charts25"/>
      <sheetName val="PPT_OPs_Charts25"/>
      <sheetName val="Tableaux_Axes23"/>
      <sheetName val="Cover_page69"/>
      <sheetName val="Model_map69"/>
      <sheetName val="Meter_reading_calculation69"/>
      <sheetName val="Connection_revenue_calculatio69"/>
      <sheetName val="Revenue_calculation69"/>
      <sheetName val="Generation_by_technology69"/>
      <sheetName val="Sold_energy69"/>
      <sheetName val="Peak_load_calculation69"/>
      <sheetName val="Fuel_costs69"/>
      <sheetName val="Generation_by_fuel69"/>
      <sheetName val="Cost_outputs69"/>
      <sheetName val="RAB_Botom-up69"/>
      <sheetName val="Regulated_revenue69"/>
      <sheetName val="Balancing_fund69"/>
      <sheetName val="SEC_Financials69"/>
      <sheetName val="Financing_structure69"/>
      <sheetName val="SEC-CF_values69"/>
      <sheetName val="Fin__indicators69"/>
      <sheetName val="Charts_SEC_model69"/>
      <sheetName val="Benchmarking_slides69"/>
      <sheetName val="Cover_page73"/>
      <sheetName val="Model_map73"/>
      <sheetName val="Meter_reading_calculation73"/>
      <sheetName val="Connection_revenue_calculatio73"/>
      <sheetName val="Revenue_calculation73"/>
      <sheetName val="Generation_by_technology73"/>
      <sheetName val="Sold_energy73"/>
      <sheetName val="Peak_load_calculation73"/>
      <sheetName val="Fuel_costs73"/>
      <sheetName val="Generation_by_fuel73"/>
      <sheetName val="Cost_outputs73"/>
      <sheetName val="RAB_Botom-up73"/>
      <sheetName val="Regulated_revenue73"/>
      <sheetName val="Balancing_fund73"/>
      <sheetName val="SEC_Financials73"/>
      <sheetName val="Financing_structure73"/>
      <sheetName val="SEC-CF_values73"/>
      <sheetName val="Fin__indicators73"/>
      <sheetName val="Charts_SEC_model73"/>
      <sheetName val="Benchmarking_slides73"/>
      <sheetName val="ネット_CF➀29"/>
      <sheetName val="ネット_CF➂29"/>
      <sheetName val="STATUS_(2)29"/>
      <sheetName val="Cost_structure_of_WS29"/>
      <sheetName val="Cost_structure_of_BL29"/>
      <sheetName val="Cost_structure_of_SL29"/>
      <sheetName val="Cost_structure_(overview)29"/>
      <sheetName val="→back_data29"/>
      <sheetName val="Cost_Detail_(data_from_AGC)29"/>
      <sheetName val="Cost_Detail_(raw_data)29"/>
      <sheetName val="Cost_Detail_(revised)29"/>
      <sheetName val="Cost_structure_in_report29"/>
      <sheetName val="Profit_margin29"/>
      <sheetName val="Labor_cost_&amp;_depreciation_cos29"/>
      <sheetName val="Cost_structure_overview29"/>
      <sheetName val="Server_Master26"/>
      <sheetName val="Application_Master26"/>
      <sheetName val="App_to_server26"/>
      <sheetName val="Multiple_App_Servers_Timeline26"/>
      <sheetName val="Bringing_in_new_data26"/>
      <sheetName val="Pivot_Active26"/>
      <sheetName val="Operations_M28"/>
      <sheetName val="Operations_Y28"/>
      <sheetName val="Load_Factor_Y28"/>
      <sheetName val="Capacity_Adjustment_Y28"/>
      <sheetName val="Joint_Route_Costs_Y28"/>
      <sheetName val="BP_Summary28"/>
      <sheetName val="PPT_Board_Charts28"/>
      <sheetName val="PPT_BP_Charts28"/>
      <sheetName val="PPT_OPs_Charts28"/>
      <sheetName val="Tableaux_Axes26"/>
      <sheetName val="Data_(2)"/>
      <sheetName val="Cover_page75"/>
      <sheetName val="Model_map75"/>
      <sheetName val="Meter_reading_calculation75"/>
      <sheetName val="Connection_revenue_calculatio75"/>
      <sheetName val="Revenue_calculation75"/>
      <sheetName val="Generation_by_technology75"/>
      <sheetName val="Sold_energy75"/>
      <sheetName val="Peak_load_calculation75"/>
      <sheetName val="Fuel_costs75"/>
      <sheetName val="Generation_by_fuel75"/>
      <sheetName val="Cost_outputs75"/>
      <sheetName val="RAB_Botom-up75"/>
      <sheetName val="Regulated_revenue75"/>
      <sheetName val="Balancing_fund75"/>
      <sheetName val="SEC_Financials75"/>
      <sheetName val="Financing_structure75"/>
      <sheetName val="SEC-CF_values75"/>
      <sheetName val="Fin__indicators75"/>
      <sheetName val="Charts_SEC_model75"/>
      <sheetName val="Benchmarking_slides75"/>
      <sheetName val="Cover_page76"/>
      <sheetName val="Model_map76"/>
      <sheetName val="Meter_reading_calculation76"/>
      <sheetName val="Connection_revenue_calculatio76"/>
      <sheetName val="Revenue_calculation76"/>
      <sheetName val="Generation_by_technology76"/>
      <sheetName val="Sold_energy76"/>
      <sheetName val="Peak_load_calculation76"/>
      <sheetName val="Fuel_costs76"/>
      <sheetName val="Generation_by_fuel76"/>
      <sheetName val="Cost_outputs76"/>
      <sheetName val="RAB_Botom-up76"/>
      <sheetName val="Regulated_revenue76"/>
      <sheetName val="Balancing_fund76"/>
      <sheetName val="SEC_Financials76"/>
      <sheetName val="Financing_structure76"/>
      <sheetName val="SEC-CF_values76"/>
      <sheetName val="Fin__indicators76"/>
      <sheetName val="Charts_SEC_model76"/>
      <sheetName val="Benchmarking_slides76"/>
      <sheetName val="ネット_CF➀31"/>
      <sheetName val="ネット_CF➂31"/>
      <sheetName val="STATUS_(2)31"/>
      <sheetName val="Cost_structure_of_WS31"/>
      <sheetName val="Cost_structure_of_BL31"/>
      <sheetName val="Cost_structure_of_SL31"/>
      <sheetName val="Cost_structure_(overview)31"/>
      <sheetName val="→back_data31"/>
      <sheetName val="Cost_Detail_(data_from_AGC)31"/>
      <sheetName val="Cost_Detail_(raw_data)31"/>
      <sheetName val="Cost_Detail_(revised)31"/>
      <sheetName val="Cost_structure_in_report31"/>
      <sheetName val="Profit_margin31"/>
      <sheetName val="Labor_cost_&amp;_depreciation_cos31"/>
      <sheetName val="Cost_structure_overview31"/>
      <sheetName val="Server_Master28"/>
      <sheetName val="Application_Master28"/>
      <sheetName val="App_to_server28"/>
      <sheetName val="Multiple_App_Servers_Timeline28"/>
      <sheetName val="Bringing_in_new_data28"/>
      <sheetName val="Pivot_Active28"/>
      <sheetName val="Operations_M30"/>
      <sheetName val="Operations_Y30"/>
      <sheetName val="Load_Factor_Y30"/>
      <sheetName val="Capacity_Adjustment_Y30"/>
      <sheetName val="Joint_Route_Costs_Y30"/>
      <sheetName val="BP_Summary30"/>
      <sheetName val="PPT_Board_Charts30"/>
      <sheetName val="PPT_BP_Charts30"/>
      <sheetName val="PPT_OPs_Charts30"/>
      <sheetName val="Tableaux_Axes28"/>
      <sheetName val="Cover_page77"/>
      <sheetName val="Model_map77"/>
      <sheetName val="Meter_reading_calculation77"/>
      <sheetName val="Connection_revenue_calculatio77"/>
      <sheetName val="Revenue_calculation77"/>
      <sheetName val="Generation_by_technology77"/>
      <sheetName val="Sold_energy77"/>
      <sheetName val="Peak_load_calculation77"/>
      <sheetName val="Fuel_costs77"/>
      <sheetName val="Generation_by_fuel77"/>
      <sheetName val="Cost_outputs77"/>
      <sheetName val="RAB_Botom-up77"/>
      <sheetName val="Regulated_revenue77"/>
      <sheetName val="Balancing_fund77"/>
      <sheetName val="SEC_Financials77"/>
      <sheetName val="Financing_structure77"/>
      <sheetName val="SEC-CF_values77"/>
      <sheetName val="Fin__indicators77"/>
      <sheetName val="Charts_SEC_model77"/>
      <sheetName val="Benchmarking_slides77"/>
      <sheetName val="ネット_CF➀32"/>
      <sheetName val="ネット_CF➂32"/>
      <sheetName val="STATUS_(2)32"/>
      <sheetName val="Cost_structure_of_WS32"/>
      <sheetName val="Cost_structure_of_BL32"/>
      <sheetName val="Cost_structure_of_SL32"/>
      <sheetName val="Cost_structure_(overview)32"/>
      <sheetName val="→back_data32"/>
      <sheetName val="Cost_Detail_(data_from_AGC)32"/>
      <sheetName val="Cost_Detail_(raw_data)32"/>
      <sheetName val="Cost_Detail_(revised)32"/>
      <sheetName val="Cost_structure_in_report32"/>
      <sheetName val="Profit_margin32"/>
      <sheetName val="Labor_cost_&amp;_depreciation_cos32"/>
      <sheetName val="Cost_structure_overview32"/>
      <sheetName val="Server_Master29"/>
      <sheetName val="Application_Master29"/>
      <sheetName val="App_to_server29"/>
      <sheetName val="Multiple_App_Servers_Timeline29"/>
      <sheetName val="Bringing_in_new_data29"/>
      <sheetName val="Pivot_Active29"/>
      <sheetName val="Operations_M31"/>
      <sheetName val="Operations_Y31"/>
      <sheetName val="Load_Factor_Y31"/>
      <sheetName val="Capacity_Adjustment_Y31"/>
      <sheetName val="Joint_Route_Costs_Y31"/>
      <sheetName val="BP_Summary31"/>
      <sheetName val="PPT_Board_Charts31"/>
      <sheetName val="PPT_BP_Charts31"/>
      <sheetName val="PPT_OPs_Charts31"/>
      <sheetName val="Tableaux_Axes29"/>
      <sheetName val="Cover_page78"/>
      <sheetName val="Model_map78"/>
      <sheetName val="Meter_reading_calculation78"/>
      <sheetName val="Connection_revenue_calculatio78"/>
      <sheetName val="Revenue_calculation78"/>
      <sheetName val="Generation_by_technology78"/>
      <sheetName val="Sold_energy78"/>
      <sheetName val="Peak_load_calculation78"/>
      <sheetName val="Fuel_costs78"/>
      <sheetName val="Generation_by_fuel78"/>
      <sheetName val="Cost_outputs78"/>
      <sheetName val="RAB_Botom-up78"/>
      <sheetName val="Regulated_revenue78"/>
      <sheetName val="Balancing_fund78"/>
      <sheetName val="SEC_Financials78"/>
      <sheetName val="Financing_structure78"/>
      <sheetName val="SEC-CF_values78"/>
      <sheetName val="Fin__indicators78"/>
      <sheetName val="Charts_SEC_model78"/>
      <sheetName val="Benchmarking_slides78"/>
      <sheetName val="ネット_CF➀33"/>
      <sheetName val="ネット_CF➂33"/>
      <sheetName val="STATUS_(2)33"/>
      <sheetName val="Cost_structure_of_WS33"/>
      <sheetName val="Cost_structure_of_BL33"/>
      <sheetName val="Cost_structure_of_SL33"/>
      <sheetName val="Cost_structure_(overview)33"/>
      <sheetName val="→back_data33"/>
      <sheetName val="Cost_Detail_(data_from_AGC)33"/>
      <sheetName val="Cost_Detail_(raw_data)33"/>
      <sheetName val="Cost_Detail_(revised)33"/>
      <sheetName val="Cost_structure_in_report33"/>
      <sheetName val="Profit_margin33"/>
      <sheetName val="Labor_cost_&amp;_depreciation_cos33"/>
      <sheetName val="Cost_structure_overview33"/>
      <sheetName val="Server_Master30"/>
      <sheetName val="Application_Master30"/>
      <sheetName val="App_to_server30"/>
      <sheetName val="Multiple_App_Servers_Timeline30"/>
      <sheetName val="Bringing_in_new_data30"/>
      <sheetName val="Pivot_Active30"/>
      <sheetName val="Operations_M32"/>
      <sheetName val="Operations_Y32"/>
      <sheetName val="Load_Factor_Y32"/>
      <sheetName val="Capacity_Adjustment_Y32"/>
      <sheetName val="Joint_Route_Costs_Y32"/>
      <sheetName val="BP_Summary32"/>
      <sheetName val="PPT_Board_Charts32"/>
      <sheetName val="PPT_BP_Charts32"/>
      <sheetName val="PPT_OPs_Charts32"/>
      <sheetName val="Tableaux_Axes30"/>
      <sheetName val="Data_(2)1"/>
      <sheetName val="Cover_page79"/>
      <sheetName val="Model_map79"/>
      <sheetName val="Meter_reading_calculation79"/>
      <sheetName val="Connection_revenue_calculatio79"/>
      <sheetName val="Revenue_calculation79"/>
      <sheetName val="Generation_by_technology79"/>
      <sheetName val="Sold_energy79"/>
      <sheetName val="Peak_load_calculation79"/>
      <sheetName val="Fuel_costs79"/>
      <sheetName val="Generation_by_fuel79"/>
      <sheetName val="Cost_outputs79"/>
      <sheetName val="RAB_Botom-up79"/>
      <sheetName val="Regulated_revenue79"/>
      <sheetName val="Balancing_fund79"/>
      <sheetName val="SEC_Financials79"/>
      <sheetName val="Financing_structure79"/>
      <sheetName val="SEC-CF_values79"/>
      <sheetName val="Fin__indicators79"/>
      <sheetName val="Charts_SEC_model79"/>
      <sheetName val="Benchmarking_slides79"/>
      <sheetName val="ネット_CF➀34"/>
      <sheetName val="ネット_CF➂34"/>
      <sheetName val="STATUS_(2)34"/>
      <sheetName val="Cost_structure_of_WS34"/>
      <sheetName val="Cost_structure_of_BL34"/>
      <sheetName val="Cost_structure_of_SL34"/>
      <sheetName val="Cost_structure_(overview)34"/>
      <sheetName val="→back_data34"/>
      <sheetName val="Cost_Detail_(data_from_AGC)34"/>
      <sheetName val="Cost_Detail_(raw_data)34"/>
      <sheetName val="Cost_Detail_(revised)34"/>
      <sheetName val="Cost_structure_in_report34"/>
      <sheetName val="Profit_margin34"/>
      <sheetName val="Labor_cost_&amp;_depreciation_cos34"/>
      <sheetName val="Cost_structure_overview34"/>
      <sheetName val="Server_Master31"/>
      <sheetName val="Application_Master31"/>
      <sheetName val="App_to_server31"/>
      <sheetName val="Multiple_App_Servers_Timeline31"/>
      <sheetName val="Bringing_in_new_data31"/>
      <sheetName val="Pivot_Active31"/>
      <sheetName val="Operations_M33"/>
      <sheetName val="Operations_Y33"/>
      <sheetName val="Load_Factor_Y33"/>
      <sheetName val="Capacity_Adjustment_Y33"/>
      <sheetName val="Joint_Route_Costs_Y33"/>
      <sheetName val="BP_Summary33"/>
      <sheetName val="PPT_Board_Charts33"/>
      <sheetName val="PPT_BP_Charts33"/>
      <sheetName val="PPT_OPs_Charts33"/>
      <sheetName val="Tableaux_Axes31"/>
      <sheetName val="Data_(2)2"/>
      <sheetName val="Cover_page80"/>
      <sheetName val="Model_map80"/>
      <sheetName val="Meter_reading_calculation80"/>
      <sheetName val="Connection_revenue_calculatio80"/>
      <sheetName val="Revenue_calculation80"/>
      <sheetName val="Generation_by_technology80"/>
      <sheetName val="Sold_energy80"/>
      <sheetName val="Peak_load_calculation80"/>
      <sheetName val="Fuel_costs80"/>
      <sheetName val="Generation_by_fuel80"/>
      <sheetName val="Cost_outputs80"/>
      <sheetName val="RAB_Botom-up80"/>
      <sheetName val="Regulated_revenue80"/>
      <sheetName val="Balancing_fund80"/>
      <sheetName val="SEC_Financials80"/>
      <sheetName val="Financing_structure80"/>
      <sheetName val="SEC-CF_values80"/>
      <sheetName val="Fin__indicators80"/>
      <sheetName val="Charts_SEC_model80"/>
      <sheetName val="Benchmarking_slides80"/>
      <sheetName val="ネット_CF➀35"/>
      <sheetName val="ネット_CF➂35"/>
      <sheetName val="STATUS_(2)35"/>
      <sheetName val="Cost_structure_of_WS35"/>
      <sheetName val="Cost_structure_of_BL35"/>
      <sheetName val="Cost_structure_of_SL35"/>
      <sheetName val="Cost_structure_(overview)35"/>
      <sheetName val="→back_data35"/>
      <sheetName val="Cost_Detail_(data_from_AGC)35"/>
      <sheetName val="Cost_Detail_(raw_data)35"/>
      <sheetName val="Cost_Detail_(revised)35"/>
      <sheetName val="Cost_structure_in_report35"/>
      <sheetName val="Profit_margin35"/>
      <sheetName val="Labor_cost_&amp;_depreciation_cos35"/>
      <sheetName val="Cost_structure_overview35"/>
      <sheetName val="Server_Master32"/>
      <sheetName val="Application_Master32"/>
      <sheetName val="App_to_server32"/>
      <sheetName val="Multiple_App_Servers_Timeline32"/>
      <sheetName val="Bringing_in_new_data32"/>
      <sheetName val="Pivot_Active32"/>
      <sheetName val="Operations_M34"/>
      <sheetName val="Operations_Y34"/>
      <sheetName val="Load_Factor_Y34"/>
      <sheetName val="Capacity_Adjustment_Y34"/>
      <sheetName val="Joint_Route_Costs_Y34"/>
      <sheetName val="BP_Summary34"/>
      <sheetName val="PPT_Board_Charts34"/>
      <sheetName val="PPT_BP_Charts34"/>
      <sheetName val="PPT_OPs_Charts34"/>
      <sheetName val="Tableaux_Axes32"/>
      <sheetName val="Data_(2)3"/>
      <sheetName val="Cover_page81"/>
      <sheetName val="Model_map81"/>
      <sheetName val="Meter_reading_calculation81"/>
      <sheetName val="Connection_revenue_calculatio81"/>
      <sheetName val="Revenue_calculation81"/>
      <sheetName val="Generation_by_technology81"/>
      <sheetName val="Sold_energy81"/>
      <sheetName val="Peak_load_calculation81"/>
      <sheetName val="Fuel_costs81"/>
      <sheetName val="Generation_by_fuel81"/>
      <sheetName val="Cost_outputs81"/>
      <sheetName val="RAB_Botom-up81"/>
      <sheetName val="Regulated_revenue81"/>
      <sheetName val="Balancing_fund81"/>
      <sheetName val="SEC_Financials81"/>
      <sheetName val="Financing_structure81"/>
      <sheetName val="SEC-CF_values81"/>
      <sheetName val="Fin__indicators81"/>
      <sheetName val="Charts_SEC_model81"/>
      <sheetName val="Benchmarking_slides81"/>
      <sheetName val="ネット_CF➀36"/>
      <sheetName val="ネット_CF➂36"/>
      <sheetName val="STATUS_(2)36"/>
      <sheetName val="Cost_structure_of_WS36"/>
      <sheetName val="Cost_structure_of_BL36"/>
      <sheetName val="Cost_structure_of_SL36"/>
      <sheetName val="Cost_structure_(overview)36"/>
      <sheetName val="→back_data36"/>
      <sheetName val="Cost_Detail_(data_from_AGC)36"/>
      <sheetName val="Cost_Detail_(raw_data)36"/>
      <sheetName val="Cost_Detail_(revised)36"/>
      <sheetName val="Cost_structure_in_report36"/>
      <sheetName val="Profit_margin36"/>
      <sheetName val="Labor_cost_&amp;_depreciation_cos36"/>
      <sheetName val="Cost_structure_overview36"/>
      <sheetName val="Server_Master33"/>
      <sheetName val="Application_Master33"/>
      <sheetName val="App_to_server33"/>
      <sheetName val="Multiple_App_Servers_Timeline33"/>
      <sheetName val="Bringing_in_new_data33"/>
      <sheetName val="Pivot_Active33"/>
      <sheetName val="Operations_M35"/>
      <sheetName val="Operations_Y35"/>
      <sheetName val="Load_Factor_Y35"/>
      <sheetName val="Capacity_Adjustment_Y35"/>
      <sheetName val="Joint_Route_Costs_Y35"/>
      <sheetName val="BP_Summary35"/>
      <sheetName val="PPT_Board_Charts35"/>
      <sheetName val="PPT_BP_Charts35"/>
      <sheetName val="PPT_OPs_Charts35"/>
      <sheetName val="Tableaux_Axes33"/>
      <sheetName val="Cover_page82"/>
      <sheetName val="Model_map82"/>
      <sheetName val="Meter_reading_calculation82"/>
      <sheetName val="Connection_revenue_calculatio82"/>
      <sheetName val="Revenue_calculation82"/>
      <sheetName val="Generation_by_technology82"/>
      <sheetName val="Sold_energy82"/>
      <sheetName val="Peak_load_calculation82"/>
      <sheetName val="Fuel_costs82"/>
      <sheetName val="Generation_by_fuel82"/>
      <sheetName val="Cost_outputs82"/>
      <sheetName val="RAB_Botom-up82"/>
      <sheetName val="Regulated_revenue82"/>
      <sheetName val="Balancing_fund82"/>
      <sheetName val="SEC_Financials82"/>
      <sheetName val="Financing_structure82"/>
      <sheetName val="SEC-CF_values82"/>
      <sheetName val="Fin__indicators82"/>
      <sheetName val="Charts_SEC_model82"/>
      <sheetName val="Benchmarking_slides82"/>
      <sheetName val="ネット_CF➀37"/>
      <sheetName val="ネット_CF➂37"/>
      <sheetName val="STATUS_(2)37"/>
      <sheetName val="Cost_structure_of_WS37"/>
      <sheetName val="Cost_structure_of_BL37"/>
      <sheetName val="Cost_structure_of_SL37"/>
      <sheetName val="Cost_structure_(overview)37"/>
      <sheetName val="→back_data37"/>
      <sheetName val="Cost_Detail_(data_from_AGC)37"/>
      <sheetName val="Cost_Detail_(raw_data)37"/>
      <sheetName val="Cost_Detail_(revised)37"/>
      <sheetName val="Cost_structure_in_report37"/>
      <sheetName val="Profit_margin37"/>
      <sheetName val="Labor_cost_&amp;_depreciation_cos37"/>
      <sheetName val="Cost_structure_overview37"/>
      <sheetName val="Server_Master34"/>
      <sheetName val="Application_Master34"/>
      <sheetName val="App_to_server34"/>
      <sheetName val="Multiple_App_Servers_Timeline34"/>
      <sheetName val="Bringing_in_new_data34"/>
      <sheetName val="Pivot_Active34"/>
      <sheetName val="Operations_M36"/>
      <sheetName val="Operations_Y36"/>
      <sheetName val="Load_Factor_Y36"/>
      <sheetName val="Capacity_Adjustment_Y36"/>
      <sheetName val="Joint_Route_Costs_Y36"/>
      <sheetName val="BP_Summary36"/>
      <sheetName val="PPT_Board_Charts36"/>
      <sheetName val="PPT_BP_Charts36"/>
      <sheetName val="PPT_OPs_Charts36"/>
      <sheetName val="Tableaux_Axes34"/>
      <sheetName val="Cover_page83"/>
      <sheetName val="Model_map83"/>
      <sheetName val="Meter_reading_calculation83"/>
      <sheetName val="Connection_revenue_calculatio83"/>
      <sheetName val="Revenue_calculation83"/>
      <sheetName val="Generation_by_technology83"/>
      <sheetName val="Sold_energy83"/>
      <sheetName val="Peak_load_calculation83"/>
      <sheetName val="Fuel_costs83"/>
      <sheetName val="Generation_by_fuel83"/>
      <sheetName val="Cost_outputs83"/>
      <sheetName val="RAB_Botom-up83"/>
      <sheetName val="Regulated_revenue83"/>
      <sheetName val="Balancing_fund83"/>
      <sheetName val="SEC_Financials83"/>
      <sheetName val="Financing_structure83"/>
      <sheetName val="SEC-CF_values83"/>
      <sheetName val="Fin__indicators83"/>
      <sheetName val="Charts_SEC_model83"/>
      <sheetName val="Benchmarking_slides83"/>
      <sheetName val="ネット_CF➀38"/>
      <sheetName val="ネット_CF➂38"/>
      <sheetName val="STATUS_(2)38"/>
      <sheetName val="Cost_structure_of_WS38"/>
      <sheetName val="Cost_structure_of_BL38"/>
      <sheetName val="Cost_structure_of_SL38"/>
      <sheetName val="Cost_structure_(overview)38"/>
      <sheetName val="→back_data38"/>
      <sheetName val="Cost_Detail_(data_from_AGC)38"/>
      <sheetName val="Cost_Detail_(raw_data)38"/>
      <sheetName val="Cost_Detail_(revised)38"/>
      <sheetName val="Cost_structure_in_report38"/>
      <sheetName val="Profit_margin38"/>
      <sheetName val="Labor_cost_&amp;_depreciation_cos38"/>
      <sheetName val="Cost_structure_overview38"/>
      <sheetName val="Server_Master35"/>
      <sheetName val="Application_Master35"/>
      <sheetName val="App_to_server35"/>
      <sheetName val="Multiple_App_Servers_Timeline35"/>
      <sheetName val="Bringing_in_new_data35"/>
      <sheetName val="Pivot_Active35"/>
      <sheetName val="Operations_M37"/>
      <sheetName val="Operations_Y37"/>
      <sheetName val="Load_Factor_Y37"/>
      <sheetName val="Capacity_Adjustment_Y37"/>
      <sheetName val="Joint_Route_Costs_Y37"/>
      <sheetName val="BP_Summary37"/>
      <sheetName val="PPT_Board_Charts37"/>
      <sheetName val="PPT_BP_Charts37"/>
      <sheetName val="PPT_OPs_Charts37"/>
      <sheetName val="Tableaux_Axes35"/>
      <sheetName val="Data_(2)4"/>
      <sheetName val="ADL"/>
      <sheetName val="elenchi menù a tendina"/>
      <sheetName val="Cover_page85"/>
      <sheetName val="Model_map85"/>
      <sheetName val="Meter_reading_calculation85"/>
      <sheetName val="Connection_revenue_calculatio85"/>
      <sheetName val="Revenue_calculation85"/>
      <sheetName val="Generation_by_technology85"/>
      <sheetName val="Sold_energy85"/>
      <sheetName val="Peak_load_calculation85"/>
      <sheetName val="Fuel_costs85"/>
      <sheetName val="Generation_by_fuel85"/>
      <sheetName val="Cost_outputs85"/>
      <sheetName val="RAB_Botom-up85"/>
      <sheetName val="Regulated_revenue85"/>
      <sheetName val="Balancing_fund85"/>
      <sheetName val="SEC_Financials85"/>
      <sheetName val="Financing_structure85"/>
      <sheetName val="SEC-CF_values85"/>
      <sheetName val="Fin__indicators85"/>
      <sheetName val="Charts_SEC_model85"/>
      <sheetName val="Benchmarking_slides85"/>
      <sheetName val="ネット_CF➀40"/>
      <sheetName val="ネット_CF➂40"/>
      <sheetName val="STATUS_(2)40"/>
      <sheetName val="Cost_structure_of_WS40"/>
      <sheetName val="Cost_structure_of_BL40"/>
      <sheetName val="Cost_structure_of_SL40"/>
      <sheetName val="Cost_structure_(overview)40"/>
      <sheetName val="→back_data40"/>
      <sheetName val="Cost_Detail_(data_from_AGC)40"/>
      <sheetName val="Cost_Detail_(raw_data)40"/>
      <sheetName val="Cost_Detail_(revised)40"/>
      <sheetName val="Cost_structure_in_report40"/>
      <sheetName val="Profit_margin40"/>
      <sheetName val="Labor_cost_&amp;_depreciation_cos40"/>
      <sheetName val="Cost_structure_overview40"/>
      <sheetName val="Server_Master37"/>
      <sheetName val="Application_Master37"/>
      <sheetName val="App_to_server37"/>
      <sheetName val="Multiple_App_Servers_Timeline37"/>
      <sheetName val="Bringing_in_new_data37"/>
      <sheetName val="Pivot_Active37"/>
      <sheetName val="Tableaux_Axes37"/>
      <sheetName val="Operations_M39"/>
      <sheetName val="Operations_Y39"/>
      <sheetName val="Load_Factor_Y39"/>
      <sheetName val="Capacity_Adjustment_Y39"/>
      <sheetName val="Joint_Route_Costs_Y39"/>
      <sheetName val="BP_Summary39"/>
      <sheetName val="PPT_Board_Charts39"/>
      <sheetName val="PPT_BP_Charts39"/>
      <sheetName val="PPT_OPs_Charts39"/>
      <sheetName val="Data_(2)6"/>
      <sheetName val="Cover_page84"/>
      <sheetName val="Model_map84"/>
      <sheetName val="Meter_reading_calculation84"/>
      <sheetName val="Connection_revenue_calculatio84"/>
      <sheetName val="Revenue_calculation84"/>
      <sheetName val="Generation_by_technology84"/>
      <sheetName val="Sold_energy84"/>
      <sheetName val="Peak_load_calculation84"/>
      <sheetName val="Fuel_costs84"/>
      <sheetName val="Generation_by_fuel84"/>
      <sheetName val="Cost_outputs84"/>
      <sheetName val="RAB_Botom-up84"/>
      <sheetName val="Regulated_revenue84"/>
      <sheetName val="Balancing_fund84"/>
      <sheetName val="SEC_Financials84"/>
      <sheetName val="Financing_structure84"/>
      <sheetName val="SEC-CF_values84"/>
      <sheetName val="Fin__indicators84"/>
      <sheetName val="Charts_SEC_model84"/>
      <sheetName val="Benchmarking_slides84"/>
      <sheetName val="ネット_CF➀39"/>
      <sheetName val="ネット_CF➂39"/>
      <sheetName val="STATUS_(2)39"/>
      <sheetName val="Cost_structure_of_WS39"/>
      <sheetName val="Cost_structure_of_BL39"/>
      <sheetName val="Cost_structure_of_SL39"/>
      <sheetName val="Cost_structure_(overview)39"/>
      <sheetName val="→back_data39"/>
      <sheetName val="Cost_Detail_(data_from_AGC)39"/>
      <sheetName val="Cost_Detail_(raw_data)39"/>
      <sheetName val="Cost_Detail_(revised)39"/>
      <sheetName val="Cost_structure_in_report39"/>
      <sheetName val="Profit_margin39"/>
      <sheetName val="Labor_cost_&amp;_depreciation_cos39"/>
      <sheetName val="Cost_structure_overview39"/>
      <sheetName val="Server_Master36"/>
      <sheetName val="Application_Master36"/>
      <sheetName val="App_to_server36"/>
      <sheetName val="Multiple_App_Servers_Timeline36"/>
      <sheetName val="Bringing_in_new_data36"/>
      <sheetName val="Pivot_Active36"/>
      <sheetName val="Tableaux_Axes36"/>
      <sheetName val="Operations_M38"/>
      <sheetName val="Operations_Y38"/>
      <sheetName val="Load_Factor_Y38"/>
      <sheetName val="Capacity_Adjustment_Y38"/>
      <sheetName val="Joint_Route_Costs_Y38"/>
      <sheetName val="BP_Summary38"/>
      <sheetName val="PPT_Board_Charts38"/>
      <sheetName val="PPT_BP_Charts38"/>
      <sheetName val="PPT_OPs_Charts38"/>
      <sheetName val="Data_(2)5"/>
      <sheetName val="Cover_page86"/>
      <sheetName val="Model_map86"/>
      <sheetName val="Meter_reading_calculation86"/>
      <sheetName val="Connection_revenue_calculatio86"/>
      <sheetName val="Revenue_calculation86"/>
      <sheetName val="Generation_by_technology86"/>
      <sheetName val="Sold_energy86"/>
      <sheetName val="Peak_load_calculation86"/>
      <sheetName val="Fuel_costs86"/>
      <sheetName val="Generation_by_fuel86"/>
      <sheetName val="Cost_outputs86"/>
      <sheetName val="RAB_Botom-up86"/>
      <sheetName val="Regulated_revenue86"/>
      <sheetName val="Balancing_fund86"/>
      <sheetName val="SEC_Financials86"/>
      <sheetName val="Financing_structure86"/>
      <sheetName val="SEC-CF_values86"/>
      <sheetName val="Fin__indicators86"/>
      <sheetName val="Charts_SEC_model86"/>
      <sheetName val="Benchmarking_slides86"/>
      <sheetName val="ネット_CF➀41"/>
      <sheetName val="ネット_CF➂41"/>
      <sheetName val="STATUS_(2)41"/>
      <sheetName val="Cost_structure_of_WS41"/>
      <sheetName val="Cost_structure_of_BL41"/>
      <sheetName val="Cost_structure_of_SL41"/>
      <sheetName val="Cost_structure_(overview)41"/>
      <sheetName val="→back_data41"/>
      <sheetName val="Cost_Detail_(data_from_AGC)41"/>
      <sheetName val="Cost_Detail_(raw_data)41"/>
      <sheetName val="Cost_Detail_(revised)41"/>
      <sheetName val="Cost_structure_in_report41"/>
      <sheetName val="Profit_margin41"/>
      <sheetName val="Labor_cost_&amp;_depreciation_cos41"/>
      <sheetName val="Cost_structure_overview41"/>
      <sheetName val="Server_Master38"/>
      <sheetName val="Application_Master38"/>
      <sheetName val="App_to_server38"/>
      <sheetName val="Multiple_App_Servers_Timeline38"/>
      <sheetName val="Bringing_in_new_data38"/>
      <sheetName val="Pivot_Active38"/>
      <sheetName val="Tableaux_Axes38"/>
      <sheetName val="Operations_M40"/>
      <sheetName val="Operations_Y40"/>
      <sheetName val="Load_Factor_Y40"/>
      <sheetName val="Capacity_Adjustment_Y40"/>
      <sheetName val="Joint_Route_Costs_Y40"/>
      <sheetName val="BP_Summary40"/>
      <sheetName val="PPT_Board_Charts40"/>
      <sheetName val="PPT_BP_Charts40"/>
      <sheetName val="PPT_OPs_Charts40"/>
      <sheetName val="Data_(2)7"/>
      <sheetName val="Cover_page88"/>
      <sheetName val="Model_map88"/>
      <sheetName val="Meter_reading_calculation88"/>
      <sheetName val="Connection_revenue_calculatio88"/>
      <sheetName val="Revenue_calculation88"/>
      <sheetName val="Generation_by_technology88"/>
      <sheetName val="Sold_energy88"/>
      <sheetName val="Peak_load_calculation88"/>
      <sheetName val="Fuel_costs88"/>
      <sheetName val="Generation_by_fuel88"/>
      <sheetName val="Cost_outputs88"/>
      <sheetName val="RAB_Botom-up88"/>
      <sheetName val="Regulated_revenue88"/>
      <sheetName val="Balancing_fund88"/>
      <sheetName val="SEC_Financials88"/>
      <sheetName val="Financing_structure88"/>
      <sheetName val="SEC-CF_values88"/>
      <sheetName val="Fin__indicators88"/>
      <sheetName val="Charts_SEC_model88"/>
      <sheetName val="Benchmarking_slides88"/>
      <sheetName val="ネット_CF➀43"/>
      <sheetName val="ネット_CF➂43"/>
      <sheetName val="STATUS_(2)43"/>
      <sheetName val="Cost_structure_of_WS43"/>
      <sheetName val="Cost_structure_of_BL43"/>
      <sheetName val="Cost_structure_of_SL43"/>
      <sheetName val="Cost_structure_(overview)43"/>
      <sheetName val="→back_data43"/>
      <sheetName val="Cost_Detail_(data_from_AGC)43"/>
      <sheetName val="Cost_Detail_(raw_data)43"/>
      <sheetName val="Cost_Detail_(revised)43"/>
      <sheetName val="Cost_structure_in_report43"/>
      <sheetName val="Profit_margin43"/>
      <sheetName val="Labor_cost_&amp;_depreciation_cos43"/>
      <sheetName val="Cost_structure_overview43"/>
      <sheetName val="Server_Master40"/>
      <sheetName val="Application_Master40"/>
      <sheetName val="App_to_server40"/>
      <sheetName val="Multiple_App_Servers_Timeline40"/>
      <sheetName val="Bringing_in_new_data40"/>
      <sheetName val="Pivot_Active40"/>
      <sheetName val="Tableaux_Axes40"/>
      <sheetName val="Operations_M42"/>
      <sheetName val="Operations_Y42"/>
      <sheetName val="Load_Factor_Y42"/>
      <sheetName val="Capacity_Adjustment_Y42"/>
      <sheetName val="Joint_Route_Costs_Y42"/>
      <sheetName val="BP_Summary42"/>
      <sheetName val="PPT_Board_Charts42"/>
      <sheetName val="PPT_BP_Charts42"/>
      <sheetName val="PPT_OPs_Charts42"/>
      <sheetName val="Data_(2)9"/>
      <sheetName val="Cover_page87"/>
      <sheetName val="Model_map87"/>
      <sheetName val="Meter_reading_calculation87"/>
      <sheetName val="Connection_revenue_calculatio87"/>
      <sheetName val="Revenue_calculation87"/>
      <sheetName val="Generation_by_technology87"/>
      <sheetName val="Sold_energy87"/>
      <sheetName val="Peak_load_calculation87"/>
      <sheetName val="Fuel_costs87"/>
      <sheetName val="Generation_by_fuel87"/>
      <sheetName val="Cost_outputs87"/>
      <sheetName val="RAB_Botom-up87"/>
      <sheetName val="Regulated_revenue87"/>
      <sheetName val="Balancing_fund87"/>
      <sheetName val="SEC_Financials87"/>
      <sheetName val="Financing_structure87"/>
      <sheetName val="SEC-CF_values87"/>
      <sheetName val="Fin__indicators87"/>
      <sheetName val="Charts_SEC_model87"/>
      <sheetName val="Benchmarking_slides87"/>
      <sheetName val="ネット_CF➀42"/>
      <sheetName val="ネット_CF➂42"/>
      <sheetName val="STATUS_(2)42"/>
      <sheetName val="Cost_structure_of_WS42"/>
      <sheetName val="Cost_structure_of_BL42"/>
      <sheetName val="Cost_structure_of_SL42"/>
      <sheetName val="Cost_structure_(overview)42"/>
      <sheetName val="→back_data42"/>
      <sheetName val="Cost_Detail_(data_from_AGC)42"/>
      <sheetName val="Cost_Detail_(raw_data)42"/>
      <sheetName val="Cost_Detail_(revised)42"/>
      <sheetName val="Cost_structure_in_report42"/>
      <sheetName val="Profit_margin42"/>
      <sheetName val="Labor_cost_&amp;_depreciation_cos42"/>
      <sheetName val="Cost_structure_overview42"/>
      <sheetName val="Server_Master39"/>
      <sheetName val="Application_Master39"/>
      <sheetName val="App_to_server39"/>
      <sheetName val="Multiple_App_Servers_Timeline39"/>
      <sheetName val="Bringing_in_new_data39"/>
      <sheetName val="Pivot_Active39"/>
      <sheetName val="Tableaux_Axes39"/>
      <sheetName val="Operations_M41"/>
      <sheetName val="Operations_Y41"/>
      <sheetName val="Load_Factor_Y41"/>
      <sheetName val="Capacity_Adjustment_Y41"/>
      <sheetName val="Joint_Route_Costs_Y41"/>
      <sheetName val="BP_Summary41"/>
      <sheetName val="PPT_Board_Charts41"/>
      <sheetName val="PPT_BP_Charts41"/>
      <sheetName val="PPT_OPs_Charts41"/>
      <sheetName val="Data_(2)8"/>
      <sheetName val="Résultat net"/>
      <sheetName val="Résultat_net"/>
      <sheetName val="elenchi_menù_a_tendina"/>
      <sheetName val="Résultat_net1"/>
      <sheetName val="elenchi_menù_a_tendina1"/>
      <sheetName val="貼付けﾃﾞｰﾀ"/>
      <sheetName val="Cover_page89"/>
      <sheetName val="Model_map89"/>
      <sheetName val="Meter_reading_calculation89"/>
      <sheetName val="Connection_revenue_calculatio89"/>
      <sheetName val="Revenue_calculation89"/>
      <sheetName val="Generation_by_technology89"/>
      <sheetName val="Sold_energy89"/>
      <sheetName val="Peak_load_calculation89"/>
      <sheetName val="Fuel_costs89"/>
      <sheetName val="Generation_by_fuel89"/>
      <sheetName val="Cost_outputs89"/>
      <sheetName val="RAB_Botom-up89"/>
      <sheetName val="Regulated_revenue89"/>
      <sheetName val="Balancing_fund89"/>
      <sheetName val="SEC_Financials89"/>
      <sheetName val="Financing_structure89"/>
      <sheetName val="SEC-CF_values89"/>
      <sheetName val="Fin__indicators89"/>
      <sheetName val="Charts_SEC_model89"/>
      <sheetName val="Benchmarking_slides89"/>
      <sheetName val="ネット_CF➀44"/>
      <sheetName val="ネット_CF➂44"/>
      <sheetName val="STATUS_(2)44"/>
      <sheetName val="Cost_structure_of_WS44"/>
      <sheetName val="Cost_structure_of_BL44"/>
      <sheetName val="Cost_structure_of_SL44"/>
      <sheetName val="Cost_structure_(overview)44"/>
      <sheetName val="→back_data44"/>
      <sheetName val="Cost_Detail_(data_from_AGC)44"/>
      <sheetName val="Cost_Detail_(raw_data)44"/>
      <sheetName val="Cost_Detail_(revised)44"/>
      <sheetName val="Cost_structure_in_report44"/>
      <sheetName val="Profit_margin44"/>
      <sheetName val="Labor_cost_&amp;_depreciation_cos44"/>
      <sheetName val="Cost_structure_overview44"/>
      <sheetName val="Server_Master41"/>
      <sheetName val="Application_Master41"/>
      <sheetName val="App_to_server41"/>
      <sheetName val="Multiple_App_Servers_Timeline41"/>
      <sheetName val="Bringing_in_new_data41"/>
      <sheetName val="Pivot_Active41"/>
      <sheetName val="Operations_M43"/>
      <sheetName val="Operations_Y43"/>
      <sheetName val="Load_Factor_Y43"/>
      <sheetName val="Capacity_Adjustment_Y43"/>
      <sheetName val="Joint_Route_Costs_Y43"/>
      <sheetName val="BP_Summary43"/>
      <sheetName val="PPT_Board_Charts43"/>
      <sheetName val="PPT_BP_Charts43"/>
      <sheetName val="PPT_OPs_Charts43"/>
      <sheetName val="Tableaux_Axes41"/>
      <sheetName val="Data_(2)10"/>
      <sheetName val="Cover_page90"/>
      <sheetName val="Model_map90"/>
      <sheetName val="Meter_reading_calculation90"/>
      <sheetName val="Connection_revenue_calculatio90"/>
      <sheetName val="Revenue_calculation90"/>
      <sheetName val="Generation_by_technology90"/>
      <sheetName val="Sold_energy90"/>
      <sheetName val="Peak_load_calculation90"/>
      <sheetName val="Fuel_costs90"/>
      <sheetName val="Generation_by_fuel90"/>
      <sheetName val="Cost_outputs90"/>
      <sheetName val="RAB_Botom-up90"/>
      <sheetName val="Regulated_revenue90"/>
      <sheetName val="Balancing_fund90"/>
      <sheetName val="SEC_Financials90"/>
      <sheetName val="Financing_structure90"/>
      <sheetName val="SEC-CF_values90"/>
      <sheetName val="Fin__indicators90"/>
      <sheetName val="Charts_SEC_model90"/>
      <sheetName val="Benchmarking_slides90"/>
      <sheetName val="Cover_page91"/>
      <sheetName val="Model_map91"/>
      <sheetName val="Meter_reading_calculation91"/>
      <sheetName val="Connection_revenue_calculatio91"/>
      <sheetName val="Revenue_calculation91"/>
      <sheetName val="Generation_by_technology91"/>
      <sheetName val="Sold_energy91"/>
      <sheetName val="Peak_load_calculation91"/>
      <sheetName val="Fuel_costs91"/>
      <sheetName val="Generation_by_fuel91"/>
      <sheetName val="Cost_outputs91"/>
      <sheetName val="RAB_Botom-up91"/>
      <sheetName val="Regulated_revenue91"/>
      <sheetName val="Balancing_fund91"/>
      <sheetName val="SEC_Financials91"/>
      <sheetName val="Financing_structure91"/>
      <sheetName val="SEC-CF_values91"/>
      <sheetName val="Fin__indicators91"/>
      <sheetName val="Charts_SEC_model91"/>
      <sheetName val="Benchmarking_slides91"/>
      <sheetName val="Cover_page92"/>
      <sheetName val="Model_map92"/>
      <sheetName val="Meter_reading_calculation92"/>
      <sheetName val="Connection_revenue_calculatio92"/>
      <sheetName val="Revenue_calculation92"/>
      <sheetName val="Generation_by_technology92"/>
      <sheetName val="Sold_energy92"/>
      <sheetName val="Peak_load_calculation92"/>
      <sheetName val="Fuel_costs92"/>
      <sheetName val="Generation_by_fuel92"/>
      <sheetName val="Cost_outputs92"/>
      <sheetName val="RAB_Botom-up92"/>
      <sheetName val="Regulated_revenue92"/>
      <sheetName val="Balancing_fund92"/>
      <sheetName val="SEC_Financials92"/>
      <sheetName val="Financing_structure92"/>
      <sheetName val="SEC-CF_values92"/>
      <sheetName val="Fin__indicators92"/>
      <sheetName val="Charts_SEC_model92"/>
      <sheetName val="Benchmarking_slides92"/>
      <sheetName val="capex 2013 (sorted)"/>
      <sheetName val="capex 2014 (sorted)"/>
      <sheetName val="US Business"/>
      <sheetName val="Résultat_net2"/>
      <sheetName val="elenchi_menù_a_tendina2"/>
      <sheetName val="ネット_CF➀46"/>
      <sheetName val="ネット_CF➂46"/>
      <sheetName val="STATUS_(2)46"/>
      <sheetName val="Cost_structure_of_WS46"/>
      <sheetName val="Cost_structure_of_BL46"/>
      <sheetName val="Cost_structure_of_SL46"/>
      <sheetName val="Cost_structure_(overview)46"/>
      <sheetName val="→back_data46"/>
      <sheetName val="Cost_Detail_(data_from_AGC)46"/>
      <sheetName val="Cost_Detail_(raw_data)46"/>
      <sheetName val="Cost_Detail_(revised)46"/>
      <sheetName val="Cost_structure_in_report46"/>
      <sheetName val="Profit_margin46"/>
      <sheetName val="Labor_cost_&amp;_depreciation_cos46"/>
      <sheetName val="Cost_structure_overview46"/>
      <sheetName val="Server_Master43"/>
      <sheetName val="Application_Master43"/>
      <sheetName val="App_to_server43"/>
      <sheetName val="Multiple_App_Servers_Timeline43"/>
      <sheetName val="Bringing_in_new_data43"/>
      <sheetName val="Pivot_Active43"/>
      <sheetName val="Operations_M45"/>
      <sheetName val="Operations_Y45"/>
      <sheetName val="Load_Factor_Y45"/>
      <sheetName val="Capacity_Adjustment_Y45"/>
      <sheetName val="Joint_Route_Costs_Y45"/>
      <sheetName val="BP_Summary45"/>
      <sheetName val="PPT_Board_Charts45"/>
      <sheetName val="PPT_BP_Charts45"/>
      <sheetName val="PPT_OPs_Charts45"/>
      <sheetName val="Tableaux_Axes43"/>
      <sheetName val="Data_(2)12"/>
      <sheetName val="Résultat_net4"/>
      <sheetName val="elenchi_menù_a_tendina4"/>
      <sheetName val="US_Business"/>
      <sheetName val="capex_2013_(sorted)"/>
      <sheetName val="capex_2014_(sorted)"/>
      <sheetName val="ネット_CF➀45"/>
      <sheetName val="ネット_CF➂45"/>
      <sheetName val="STATUS_(2)45"/>
      <sheetName val="Cost_structure_of_WS45"/>
      <sheetName val="Cost_structure_of_BL45"/>
      <sheetName val="Cost_structure_of_SL45"/>
      <sheetName val="Cost_structure_(overview)45"/>
      <sheetName val="→back_data45"/>
      <sheetName val="Cost_Detail_(data_from_AGC)45"/>
      <sheetName val="Cost_Detail_(raw_data)45"/>
      <sheetName val="Cost_Detail_(revised)45"/>
      <sheetName val="Cost_structure_in_report45"/>
      <sheetName val="Profit_margin45"/>
      <sheetName val="Labor_cost_&amp;_depreciation_cos45"/>
      <sheetName val="Cost_structure_overview45"/>
      <sheetName val="Server_Master42"/>
      <sheetName val="Application_Master42"/>
      <sheetName val="App_to_server42"/>
      <sheetName val="Multiple_App_Servers_Timeline42"/>
      <sheetName val="Bringing_in_new_data42"/>
      <sheetName val="Pivot_Active42"/>
      <sheetName val="Operations_M44"/>
      <sheetName val="Operations_Y44"/>
      <sheetName val="Load_Factor_Y44"/>
      <sheetName val="Capacity_Adjustment_Y44"/>
      <sheetName val="Joint_Route_Costs_Y44"/>
      <sheetName val="BP_Summary44"/>
      <sheetName val="PPT_Board_Charts44"/>
      <sheetName val="PPT_BP_Charts44"/>
      <sheetName val="PPT_OPs_Charts44"/>
      <sheetName val="Tableaux_Axes42"/>
      <sheetName val="Data_(2)11"/>
      <sheetName val="Résultat_net3"/>
      <sheetName val="elenchi_menù_a_tendina3"/>
      <sheetName val="Cover_page93"/>
      <sheetName val="Model_map93"/>
      <sheetName val="Meter_reading_calculation93"/>
      <sheetName val="Connection_revenue_calculatio93"/>
      <sheetName val="Revenue_calculation93"/>
      <sheetName val="Generation_by_technology93"/>
      <sheetName val="Sold_energy93"/>
      <sheetName val="Peak_load_calculation93"/>
      <sheetName val="Fuel_costs93"/>
      <sheetName val="Generation_by_fuel93"/>
      <sheetName val="Cost_outputs93"/>
      <sheetName val="RAB_Botom-up93"/>
      <sheetName val="Regulated_revenue93"/>
      <sheetName val="Balancing_fund93"/>
      <sheetName val="SEC_Financials93"/>
      <sheetName val="Financing_structure93"/>
      <sheetName val="SEC-CF_values93"/>
      <sheetName val="Fin__indicators93"/>
      <sheetName val="Charts_SEC_model93"/>
      <sheetName val="Benchmarking_slides93"/>
      <sheetName val="ネット_CF➀47"/>
      <sheetName val="ネット_CF➂47"/>
      <sheetName val="STATUS_(2)47"/>
      <sheetName val="Cost_structure_of_WS47"/>
      <sheetName val="Cost_structure_of_BL47"/>
      <sheetName val="Cost_structure_of_SL47"/>
      <sheetName val="Cost_structure_(overview)47"/>
      <sheetName val="→back_data47"/>
      <sheetName val="Cost_Detail_(data_from_AGC)47"/>
      <sheetName val="Cost_Detail_(raw_data)47"/>
      <sheetName val="Cost_Detail_(revised)47"/>
      <sheetName val="Cost_structure_in_report47"/>
      <sheetName val="Profit_margin47"/>
      <sheetName val="Labor_cost_&amp;_depreciation_cos47"/>
      <sheetName val="Cost_structure_overview47"/>
      <sheetName val="Server_Master44"/>
      <sheetName val="Application_Master44"/>
      <sheetName val="App_to_server44"/>
      <sheetName val="Multiple_App_Servers_Timeline44"/>
      <sheetName val="Bringing_in_new_data44"/>
      <sheetName val="Pivot_Active44"/>
      <sheetName val="Operations_M46"/>
      <sheetName val="Operations_Y46"/>
      <sheetName val="Load_Factor_Y46"/>
      <sheetName val="Capacity_Adjustment_Y46"/>
      <sheetName val="Joint_Route_Costs_Y46"/>
      <sheetName val="BP_Summary46"/>
      <sheetName val="PPT_Board_Charts46"/>
      <sheetName val="PPT_BP_Charts46"/>
      <sheetName val="PPT_OPs_Charts46"/>
      <sheetName val="Tableaux_Axes44"/>
      <sheetName val="Data_(2)13"/>
      <sheetName val="elenchi_menù_a_tendina5"/>
      <sheetName val="Résultat_net5"/>
      <sheetName val="capex_2013_(sorted)1"/>
      <sheetName val="capex_2014_(sorted)1"/>
      <sheetName val="US_Business1"/>
      <sheetName val="capex_2013_(sorted)2"/>
      <sheetName val="capex_2014_(sorted)2"/>
      <sheetName val="US_Business2"/>
      <sheetName val="Résultat_net6"/>
    </sheetNames>
    <sheetDataSet>
      <sheetData sheetId="0" refreshError="1"/>
      <sheetData sheetId="1" refreshError="1"/>
      <sheetData sheetId="2" refreshError="1"/>
      <sheetData sheetId="3">
        <row r="8">
          <cell r="B8">
            <v>1000000</v>
          </cell>
        </row>
        <row r="19">
          <cell r="B19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9">
          <cell r="B19" t="str">
            <v>02.厚板</v>
          </cell>
        </row>
      </sheetData>
      <sheetData sheetId="31">
        <row r="19">
          <cell r="B19" t="str">
            <v>02.厚板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9">
          <cell r="B19" t="str">
            <v>02.厚板</v>
          </cell>
        </row>
      </sheetData>
      <sheetData sheetId="46">
        <row r="19">
          <cell r="B19" t="str">
            <v>02.厚板</v>
          </cell>
        </row>
      </sheetData>
      <sheetData sheetId="47">
        <row r="19">
          <cell r="B19" t="str">
            <v>02.厚板</v>
          </cell>
        </row>
      </sheetData>
      <sheetData sheetId="48">
        <row r="19">
          <cell r="B19" t="str">
            <v>02.厚板</v>
          </cell>
        </row>
      </sheetData>
      <sheetData sheetId="49">
        <row r="19">
          <cell r="B19" t="str">
            <v>02.厚板</v>
          </cell>
        </row>
      </sheetData>
      <sheetData sheetId="50">
        <row r="19">
          <cell r="B19" t="str">
            <v>02.厚板</v>
          </cell>
        </row>
      </sheetData>
      <sheetData sheetId="51">
        <row r="19">
          <cell r="B19" t="str">
            <v>02.厚板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9">
          <cell r="B19" t="str">
            <v>02.厚板</v>
          </cell>
        </row>
      </sheetData>
      <sheetData sheetId="69">
        <row r="19">
          <cell r="B19" t="str">
            <v>02.厚板</v>
          </cell>
        </row>
      </sheetData>
      <sheetData sheetId="70">
        <row r="19">
          <cell r="B19" t="str">
            <v>02.厚板</v>
          </cell>
        </row>
      </sheetData>
      <sheetData sheetId="71">
        <row r="19">
          <cell r="B19" t="str">
            <v>02.厚板</v>
          </cell>
        </row>
      </sheetData>
      <sheetData sheetId="72">
        <row r="19">
          <cell r="B19" t="str">
            <v>02.厚板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9">
          <cell r="B19" t="str">
            <v>02.厚板</v>
          </cell>
        </row>
      </sheetData>
      <sheetData sheetId="89">
        <row r="19">
          <cell r="B19" t="str">
            <v>02.厚板</v>
          </cell>
        </row>
      </sheetData>
      <sheetData sheetId="90">
        <row r="19">
          <cell r="B19" t="str">
            <v>02.厚板</v>
          </cell>
        </row>
      </sheetData>
      <sheetData sheetId="91">
        <row r="19">
          <cell r="B19" t="str">
            <v>02.厚板</v>
          </cell>
        </row>
      </sheetData>
      <sheetData sheetId="92">
        <row r="19">
          <cell r="B19" t="str">
            <v>02.厚板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9">
          <cell r="B19" t="str">
            <v>02.厚板</v>
          </cell>
        </row>
      </sheetData>
      <sheetData sheetId="107">
        <row r="19">
          <cell r="B19" t="str">
            <v>02.厚板</v>
          </cell>
        </row>
      </sheetData>
      <sheetData sheetId="108">
        <row r="19">
          <cell r="B19" t="str">
            <v>02.厚板</v>
          </cell>
        </row>
      </sheetData>
      <sheetData sheetId="109">
        <row r="19">
          <cell r="B19" t="str">
            <v>02.厚板</v>
          </cell>
        </row>
      </sheetData>
      <sheetData sheetId="110">
        <row r="19">
          <cell r="B19" t="str">
            <v>02.厚板</v>
          </cell>
        </row>
      </sheetData>
      <sheetData sheetId="111">
        <row r="19">
          <cell r="B19" t="str">
            <v>02.厚板</v>
          </cell>
        </row>
      </sheetData>
      <sheetData sheetId="112">
        <row r="19">
          <cell r="B19" t="str">
            <v>02.厚板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19">
          <cell r="B19" t="str">
            <v>02.厚板</v>
          </cell>
        </row>
      </sheetData>
      <sheetData sheetId="127">
        <row r="19">
          <cell r="B19" t="str">
            <v>02.厚板</v>
          </cell>
        </row>
      </sheetData>
      <sheetData sheetId="128">
        <row r="19">
          <cell r="B19" t="str">
            <v>02.厚板</v>
          </cell>
        </row>
      </sheetData>
      <sheetData sheetId="129">
        <row r="19">
          <cell r="B19" t="str">
            <v>02.厚板</v>
          </cell>
        </row>
      </sheetData>
      <sheetData sheetId="130">
        <row r="19">
          <cell r="B19" t="str">
            <v>02.厚板</v>
          </cell>
        </row>
      </sheetData>
      <sheetData sheetId="131">
        <row r="19">
          <cell r="B19" t="str">
            <v>02.厚板</v>
          </cell>
        </row>
      </sheetData>
      <sheetData sheetId="132">
        <row r="19">
          <cell r="B19" t="str">
            <v>02.厚板</v>
          </cell>
        </row>
      </sheetData>
      <sheetData sheetId="133"/>
      <sheetData sheetId="134"/>
      <sheetData sheetId="135">
        <row r="19">
          <cell r="B19">
            <v>0</v>
          </cell>
        </row>
      </sheetData>
      <sheetData sheetId="136">
        <row r="19">
          <cell r="B19">
            <v>0</v>
          </cell>
        </row>
      </sheetData>
      <sheetData sheetId="137">
        <row r="19">
          <cell r="B19">
            <v>0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19">
          <cell r="B19" t="str">
            <v>02.厚板</v>
          </cell>
        </row>
      </sheetData>
      <sheetData sheetId="148">
        <row r="19">
          <cell r="B19" t="str">
            <v>02.厚板</v>
          </cell>
        </row>
      </sheetData>
      <sheetData sheetId="149">
        <row r="19">
          <cell r="B19" t="str">
            <v>02.厚板</v>
          </cell>
        </row>
      </sheetData>
      <sheetData sheetId="150">
        <row r="19">
          <cell r="B19" t="str">
            <v>02.厚板</v>
          </cell>
        </row>
      </sheetData>
      <sheetData sheetId="151">
        <row r="19">
          <cell r="B19" t="str">
            <v>02.厚板</v>
          </cell>
        </row>
      </sheetData>
      <sheetData sheetId="152">
        <row r="19">
          <cell r="B19" t="str">
            <v>02.厚板</v>
          </cell>
        </row>
      </sheetData>
      <sheetData sheetId="153"/>
      <sheetData sheetId="154"/>
      <sheetData sheetId="155">
        <row r="19">
          <cell r="B19">
            <v>0</v>
          </cell>
        </row>
      </sheetData>
      <sheetData sheetId="156">
        <row r="19">
          <cell r="B19">
            <v>0</v>
          </cell>
        </row>
      </sheetData>
      <sheetData sheetId="157">
        <row r="19">
          <cell r="B19">
            <v>0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19">
          <cell r="B19" t="str">
            <v>02.厚板</v>
          </cell>
        </row>
      </sheetData>
      <sheetData sheetId="166">
        <row r="19">
          <cell r="B19" t="str">
            <v>02.厚板</v>
          </cell>
        </row>
      </sheetData>
      <sheetData sheetId="167">
        <row r="19">
          <cell r="B19" t="str">
            <v>02.厚板</v>
          </cell>
        </row>
      </sheetData>
      <sheetData sheetId="168">
        <row r="19">
          <cell r="B19" t="str">
            <v>02.厚板</v>
          </cell>
        </row>
      </sheetData>
      <sheetData sheetId="169">
        <row r="19">
          <cell r="B19" t="str">
            <v>02.厚板</v>
          </cell>
        </row>
      </sheetData>
      <sheetData sheetId="170">
        <row r="19">
          <cell r="B19" t="str">
            <v>02.厚板</v>
          </cell>
        </row>
      </sheetData>
      <sheetData sheetId="171">
        <row r="19">
          <cell r="B19" t="str">
            <v>02.厚板</v>
          </cell>
        </row>
      </sheetData>
      <sheetData sheetId="172">
        <row r="19">
          <cell r="B19" t="str">
            <v>02.厚板</v>
          </cell>
        </row>
      </sheetData>
      <sheetData sheetId="173"/>
      <sheetData sheetId="174"/>
      <sheetData sheetId="175">
        <row r="19">
          <cell r="B19">
            <v>0</v>
          </cell>
        </row>
      </sheetData>
      <sheetData sheetId="176">
        <row r="19">
          <cell r="B19">
            <v>0</v>
          </cell>
        </row>
      </sheetData>
      <sheetData sheetId="177">
        <row r="19">
          <cell r="B19">
            <v>0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19">
          <cell r="B19" t="str">
            <v>02.厚板</v>
          </cell>
        </row>
      </sheetData>
      <sheetData sheetId="187">
        <row r="19">
          <cell r="B19" t="str">
            <v>02.厚板</v>
          </cell>
        </row>
      </sheetData>
      <sheetData sheetId="188">
        <row r="19">
          <cell r="B19" t="str">
            <v>02.厚板</v>
          </cell>
        </row>
      </sheetData>
      <sheetData sheetId="189">
        <row r="19">
          <cell r="B19" t="str">
            <v>02.厚板</v>
          </cell>
        </row>
      </sheetData>
      <sheetData sheetId="190">
        <row r="19">
          <cell r="B19" t="str">
            <v>02.厚板</v>
          </cell>
        </row>
      </sheetData>
      <sheetData sheetId="191">
        <row r="19">
          <cell r="B19" t="str">
            <v>02.厚板</v>
          </cell>
        </row>
      </sheetData>
      <sheetData sheetId="192">
        <row r="19">
          <cell r="B19" t="str">
            <v>02.厚板</v>
          </cell>
        </row>
      </sheetData>
      <sheetData sheetId="193">
        <row r="19">
          <cell r="B19">
            <v>0</v>
          </cell>
        </row>
      </sheetData>
      <sheetData sheetId="194">
        <row r="19">
          <cell r="B19">
            <v>0</v>
          </cell>
        </row>
      </sheetData>
      <sheetData sheetId="195">
        <row r="19">
          <cell r="B19">
            <v>0</v>
          </cell>
        </row>
      </sheetData>
      <sheetData sheetId="196">
        <row r="19">
          <cell r="B19">
            <v>0</v>
          </cell>
        </row>
      </sheetData>
      <sheetData sheetId="197"/>
      <sheetData sheetId="198"/>
      <sheetData sheetId="199">
        <row r="19">
          <cell r="B19">
            <v>0</v>
          </cell>
        </row>
      </sheetData>
      <sheetData sheetId="200">
        <row r="19">
          <cell r="B19">
            <v>0</v>
          </cell>
        </row>
      </sheetData>
      <sheetData sheetId="201"/>
      <sheetData sheetId="202">
        <row r="19">
          <cell r="B19" t="str">
            <v>02.厚板</v>
          </cell>
        </row>
      </sheetData>
      <sheetData sheetId="203">
        <row r="19">
          <cell r="B19" t="str">
            <v>02.厚板</v>
          </cell>
        </row>
      </sheetData>
      <sheetData sheetId="204">
        <row r="19">
          <cell r="B19" t="str">
            <v>02.厚板</v>
          </cell>
        </row>
      </sheetData>
      <sheetData sheetId="205">
        <row r="19">
          <cell r="B19">
            <v>0</v>
          </cell>
        </row>
      </sheetData>
      <sheetData sheetId="206">
        <row r="19">
          <cell r="B19" t="str">
            <v>02.厚板</v>
          </cell>
        </row>
      </sheetData>
      <sheetData sheetId="207">
        <row r="19">
          <cell r="B19" t="str">
            <v>02.厚板</v>
          </cell>
        </row>
      </sheetData>
      <sheetData sheetId="208">
        <row r="19">
          <cell r="B19" t="str">
            <v>02.厚板</v>
          </cell>
        </row>
      </sheetData>
      <sheetData sheetId="209">
        <row r="19">
          <cell r="B19">
            <v>0</v>
          </cell>
        </row>
      </sheetData>
      <sheetData sheetId="210">
        <row r="19">
          <cell r="B19">
            <v>0</v>
          </cell>
        </row>
      </sheetData>
      <sheetData sheetId="211">
        <row r="19">
          <cell r="B19" t="str">
            <v>02.厚板</v>
          </cell>
        </row>
      </sheetData>
      <sheetData sheetId="212"/>
      <sheetData sheetId="213"/>
      <sheetData sheetId="214">
        <row r="19">
          <cell r="B19">
            <v>0</v>
          </cell>
        </row>
      </sheetData>
      <sheetData sheetId="215">
        <row r="19">
          <cell r="B19">
            <v>0</v>
          </cell>
        </row>
      </sheetData>
      <sheetData sheetId="216">
        <row r="19">
          <cell r="B19">
            <v>0</v>
          </cell>
        </row>
      </sheetData>
      <sheetData sheetId="217">
        <row r="19">
          <cell r="B19" t="str">
            <v>02.厚板</v>
          </cell>
        </row>
      </sheetData>
      <sheetData sheetId="218">
        <row r="19">
          <cell r="B19">
            <v>0</v>
          </cell>
        </row>
      </sheetData>
      <sheetData sheetId="219">
        <row r="19">
          <cell r="B19">
            <v>0</v>
          </cell>
        </row>
      </sheetData>
      <sheetData sheetId="220">
        <row r="19">
          <cell r="B19">
            <v>0</v>
          </cell>
        </row>
      </sheetData>
      <sheetData sheetId="221">
        <row r="19">
          <cell r="B19">
            <v>0</v>
          </cell>
        </row>
      </sheetData>
      <sheetData sheetId="222">
        <row r="19">
          <cell r="B19" t="str">
            <v>02.厚板</v>
          </cell>
        </row>
      </sheetData>
      <sheetData sheetId="223">
        <row r="19">
          <cell r="B19" t="str">
            <v>02.厚板</v>
          </cell>
        </row>
      </sheetData>
      <sheetData sheetId="224">
        <row r="19">
          <cell r="B19">
            <v>0</v>
          </cell>
        </row>
      </sheetData>
      <sheetData sheetId="225"/>
      <sheetData sheetId="226">
        <row r="19">
          <cell r="B19" t="str">
            <v>02.厚板</v>
          </cell>
        </row>
      </sheetData>
      <sheetData sheetId="227">
        <row r="19">
          <cell r="B19" t="str">
            <v>02.厚板</v>
          </cell>
        </row>
      </sheetData>
      <sheetData sheetId="228">
        <row r="19">
          <cell r="B19" t="str">
            <v>02.厚板</v>
          </cell>
        </row>
      </sheetData>
      <sheetData sheetId="229">
        <row r="19">
          <cell r="B19">
            <v>0</v>
          </cell>
        </row>
      </sheetData>
      <sheetData sheetId="230">
        <row r="19">
          <cell r="B19" t="str">
            <v>02.厚板</v>
          </cell>
        </row>
      </sheetData>
      <sheetData sheetId="231">
        <row r="19">
          <cell r="B19">
            <v>0</v>
          </cell>
        </row>
      </sheetData>
      <sheetData sheetId="232">
        <row r="19">
          <cell r="B19" t="str">
            <v>02.厚板</v>
          </cell>
        </row>
      </sheetData>
      <sheetData sheetId="233">
        <row r="19">
          <cell r="B19">
            <v>0</v>
          </cell>
        </row>
      </sheetData>
      <sheetData sheetId="234">
        <row r="19">
          <cell r="B19">
            <v>0</v>
          </cell>
        </row>
      </sheetData>
      <sheetData sheetId="235">
        <row r="19">
          <cell r="B19">
            <v>0</v>
          </cell>
        </row>
      </sheetData>
      <sheetData sheetId="236">
        <row r="19">
          <cell r="B19">
            <v>0</v>
          </cell>
        </row>
      </sheetData>
      <sheetData sheetId="237">
        <row r="19">
          <cell r="B19">
            <v>0</v>
          </cell>
        </row>
      </sheetData>
      <sheetData sheetId="238"/>
      <sheetData sheetId="239">
        <row r="19">
          <cell r="B19">
            <v>0</v>
          </cell>
        </row>
      </sheetData>
      <sheetData sheetId="240">
        <row r="19">
          <cell r="B19">
            <v>0</v>
          </cell>
        </row>
      </sheetData>
      <sheetData sheetId="241">
        <row r="19">
          <cell r="B19">
            <v>0</v>
          </cell>
        </row>
      </sheetData>
      <sheetData sheetId="242"/>
      <sheetData sheetId="243"/>
      <sheetData sheetId="244">
        <row r="19">
          <cell r="B19">
            <v>0</v>
          </cell>
        </row>
      </sheetData>
      <sheetData sheetId="245">
        <row r="19">
          <cell r="B19" t="str">
            <v>02.厚板</v>
          </cell>
        </row>
      </sheetData>
      <sheetData sheetId="246">
        <row r="19">
          <cell r="B19" t="str">
            <v>02.厚板</v>
          </cell>
        </row>
      </sheetData>
      <sheetData sheetId="247">
        <row r="19">
          <cell r="B19" t="str">
            <v>02.厚板</v>
          </cell>
        </row>
      </sheetData>
      <sheetData sheetId="248">
        <row r="19">
          <cell r="B19">
            <v>0</v>
          </cell>
        </row>
      </sheetData>
      <sheetData sheetId="249">
        <row r="19">
          <cell r="B19">
            <v>0</v>
          </cell>
        </row>
      </sheetData>
      <sheetData sheetId="250">
        <row r="19">
          <cell r="B19">
            <v>0</v>
          </cell>
        </row>
      </sheetData>
      <sheetData sheetId="251">
        <row r="19">
          <cell r="B19" t="str">
            <v>02.厚板</v>
          </cell>
        </row>
      </sheetData>
      <sheetData sheetId="252">
        <row r="19">
          <cell r="B19" t="str">
            <v>02.厚板</v>
          </cell>
        </row>
      </sheetData>
      <sheetData sheetId="253">
        <row r="19">
          <cell r="B19" t="str">
            <v>02.厚板</v>
          </cell>
        </row>
      </sheetData>
      <sheetData sheetId="254">
        <row r="19">
          <cell r="B19">
            <v>0</v>
          </cell>
        </row>
      </sheetData>
      <sheetData sheetId="255">
        <row r="19">
          <cell r="B19">
            <v>0</v>
          </cell>
        </row>
      </sheetData>
      <sheetData sheetId="256">
        <row r="19">
          <cell r="B19">
            <v>0</v>
          </cell>
        </row>
      </sheetData>
      <sheetData sheetId="257">
        <row r="19">
          <cell r="B19">
            <v>0</v>
          </cell>
        </row>
      </sheetData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>
        <row r="19">
          <cell r="B19" t="str">
            <v>02.厚板</v>
          </cell>
        </row>
      </sheetData>
      <sheetData sheetId="273"/>
      <sheetData sheetId="274">
        <row r="19">
          <cell r="B19">
            <v>0</v>
          </cell>
        </row>
      </sheetData>
      <sheetData sheetId="275">
        <row r="19">
          <cell r="B19">
            <v>0</v>
          </cell>
        </row>
      </sheetData>
      <sheetData sheetId="276">
        <row r="19">
          <cell r="B19">
            <v>0</v>
          </cell>
        </row>
      </sheetData>
      <sheetData sheetId="277">
        <row r="19">
          <cell r="B19">
            <v>0</v>
          </cell>
        </row>
      </sheetData>
      <sheetData sheetId="278">
        <row r="19">
          <cell r="B19">
            <v>0</v>
          </cell>
        </row>
      </sheetData>
      <sheetData sheetId="279">
        <row r="19">
          <cell r="B19">
            <v>0</v>
          </cell>
        </row>
      </sheetData>
      <sheetData sheetId="280">
        <row r="19">
          <cell r="B19">
            <v>0</v>
          </cell>
        </row>
      </sheetData>
      <sheetData sheetId="281">
        <row r="19">
          <cell r="B19">
            <v>0</v>
          </cell>
        </row>
      </sheetData>
      <sheetData sheetId="282"/>
      <sheetData sheetId="283"/>
      <sheetData sheetId="284">
        <row r="19">
          <cell r="B19">
            <v>0</v>
          </cell>
        </row>
      </sheetData>
      <sheetData sheetId="285">
        <row r="19">
          <cell r="B19">
            <v>0</v>
          </cell>
        </row>
      </sheetData>
      <sheetData sheetId="286">
        <row r="19">
          <cell r="B19">
            <v>0</v>
          </cell>
        </row>
      </sheetData>
      <sheetData sheetId="287">
        <row r="19">
          <cell r="B19" t="str">
            <v>02.厚板</v>
          </cell>
        </row>
      </sheetData>
      <sheetData sheetId="288">
        <row r="19">
          <cell r="B19" t="str">
            <v>02.厚板</v>
          </cell>
        </row>
      </sheetData>
      <sheetData sheetId="289">
        <row r="19">
          <cell r="B19" t="str">
            <v>02.厚板</v>
          </cell>
        </row>
      </sheetData>
      <sheetData sheetId="290">
        <row r="19">
          <cell r="B19">
            <v>0</v>
          </cell>
        </row>
      </sheetData>
      <sheetData sheetId="291">
        <row r="19">
          <cell r="B19" t="str">
            <v>02.厚板</v>
          </cell>
        </row>
      </sheetData>
      <sheetData sheetId="292">
        <row r="19">
          <cell r="B19" t="str">
            <v>02.厚板</v>
          </cell>
        </row>
      </sheetData>
      <sheetData sheetId="293">
        <row r="19">
          <cell r="B19">
            <v>0</v>
          </cell>
        </row>
      </sheetData>
      <sheetData sheetId="294">
        <row r="19">
          <cell r="B19">
            <v>0</v>
          </cell>
        </row>
      </sheetData>
      <sheetData sheetId="295">
        <row r="19">
          <cell r="B19">
            <v>0</v>
          </cell>
        </row>
      </sheetData>
      <sheetData sheetId="296">
        <row r="19">
          <cell r="B19">
            <v>0</v>
          </cell>
        </row>
      </sheetData>
      <sheetData sheetId="297"/>
      <sheetData sheetId="298">
        <row r="19">
          <cell r="B19" t="str">
            <v>02.厚板</v>
          </cell>
        </row>
      </sheetData>
      <sheetData sheetId="299">
        <row r="19">
          <cell r="B19">
            <v>0</v>
          </cell>
        </row>
      </sheetData>
      <sheetData sheetId="300">
        <row r="19">
          <cell r="B19">
            <v>0</v>
          </cell>
        </row>
      </sheetData>
      <sheetData sheetId="301">
        <row r="19">
          <cell r="B19">
            <v>0</v>
          </cell>
        </row>
      </sheetData>
      <sheetData sheetId="302">
        <row r="19">
          <cell r="B19" t="str">
            <v>02.厚板</v>
          </cell>
        </row>
      </sheetData>
      <sheetData sheetId="303">
        <row r="19">
          <cell r="B19" t="str">
            <v>02.厚板</v>
          </cell>
        </row>
      </sheetData>
      <sheetData sheetId="304">
        <row r="19">
          <cell r="B19" t="str">
            <v>02.厚板</v>
          </cell>
        </row>
      </sheetData>
      <sheetData sheetId="305">
        <row r="19">
          <cell r="B19">
            <v>0</v>
          </cell>
        </row>
      </sheetData>
      <sheetData sheetId="306">
        <row r="19">
          <cell r="B19" t="str">
            <v>02.厚板</v>
          </cell>
        </row>
      </sheetData>
      <sheetData sheetId="307">
        <row r="19">
          <cell r="B19" t="str">
            <v>02.厚板</v>
          </cell>
        </row>
      </sheetData>
      <sheetData sheetId="308">
        <row r="19">
          <cell r="B19" t="str">
            <v>02.厚板</v>
          </cell>
        </row>
      </sheetData>
      <sheetData sheetId="309">
        <row r="19">
          <cell r="B19">
            <v>0</v>
          </cell>
        </row>
      </sheetData>
      <sheetData sheetId="310">
        <row r="19">
          <cell r="B19">
            <v>0</v>
          </cell>
        </row>
      </sheetData>
      <sheetData sheetId="311">
        <row r="19">
          <cell r="B19" t="str">
            <v>02.厚板</v>
          </cell>
        </row>
      </sheetData>
      <sheetData sheetId="312"/>
      <sheetData sheetId="313">
        <row r="19">
          <cell r="B19" t="str">
            <v>02.厚板</v>
          </cell>
        </row>
      </sheetData>
      <sheetData sheetId="314">
        <row r="19">
          <cell r="B19">
            <v>0</v>
          </cell>
        </row>
      </sheetData>
      <sheetData sheetId="315">
        <row r="19">
          <cell r="B19">
            <v>0</v>
          </cell>
        </row>
      </sheetData>
      <sheetData sheetId="316">
        <row r="19">
          <cell r="B19">
            <v>0</v>
          </cell>
        </row>
      </sheetData>
      <sheetData sheetId="317">
        <row r="19">
          <cell r="B19" t="str">
            <v>02.厚板</v>
          </cell>
        </row>
      </sheetData>
      <sheetData sheetId="318">
        <row r="19">
          <cell r="B19">
            <v>0</v>
          </cell>
        </row>
      </sheetData>
      <sheetData sheetId="319">
        <row r="19">
          <cell r="B19">
            <v>0</v>
          </cell>
        </row>
      </sheetData>
      <sheetData sheetId="320">
        <row r="19">
          <cell r="B19">
            <v>0</v>
          </cell>
        </row>
      </sheetData>
      <sheetData sheetId="321">
        <row r="19">
          <cell r="B19">
            <v>0</v>
          </cell>
        </row>
      </sheetData>
      <sheetData sheetId="322">
        <row r="19">
          <cell r="B19" t="str">
            <v>02.厚板</v>
          </cell>
        </row>
      </sheetData>
      <sheetData sheetId="323">
        <row r="19">
          <cell r="B19" t="str">
            <v>02.厚板</v>
          </cell>
        </row>
      </sheetData>
      <sheetData sheetId="324">
        <row r="19">
          <cell r="B19">
            <v>0</v>
          </cell>
        </row>
      </sheetData>
      <sheetData sheetId="325">
        <row r="19">
          <cell r="B19">
            <v>0</v>
          </cell>
        </row>
      </sheetData>
      <sheetData sheetId="326">
        <row r="19">
          <cell r="B19" t="str">
            <v>02.厚板</v>
          </cell>
        </row>
      </sheetData>
      <sheetData sheetId="327">
        <row r="19">
          <cell r="B19">
            <v>0</v>
          </cell>
        </row>
      </sheetData>
      <sheetData sheetId="328">
        <row r="19">
          <cell r="B19">
            <v>0</v>
          </cell>
        </row>
      </sheetData>
      <sheetData sheetId="329">
        <row r="19">
          <cell r="B19">
            <v>0</v>
          </cell>
        </row>
      </sheetData>
      <sheetData sheetId="330">
        <row r="19">
          <cell r="B19" t="str">
            <v>02.厚板</v>
          </cell>
        </row>
      </sheetData>
      <sheetData sheetId="331">
        <row r="19">
          <cell r="B19">
            <v>0</v>
          </cell>
        </row>
      </sheetData>
      <sheetData sheetId="332">
        <row r="19">
          <cell r="B19" t="str">
            <v>02.厚板</v>
          </cell>
        </row>
      </sheetData>
      <sheetData sheetId="333">
        <row r="19">
          <cell r="B19">
            <v>0</v>
          </cell>
        </row>
      </sheetData>
      <sheetData sheetId="334">
        <row r="19">
          <cell r="B19">
            <v>0</v>
          </cell>
        </row>
      </sheetData>
      <sheetData sheetId="335">
        <row r="19">
          <cell r="B19">
            <v>0</v>
          </cell>
        </row>
      </sheetData>
      <sheetData sheetId="336">
        <row r="19">
          <cell r="B19" t="str">
            <v>02.厚板</v>
          </cell>
        </row>
      </sheetData>
      <sheetData sheetId="337">
        <row r="19">
          <cell r="B19" t="str">
            <v>02.厚板</v>
          </cell>
        </row>
      </sheetData>
      <sheetData sheetId="338">
        <row r="19">
          <cell r="B19">
            <v>0</v>
          </cell>
        </row>
      </sheetData>
      <sheetData sheetId="339">
        <row r="19">
          <cell r="B19">
            <v>0</v>
          </cell>
        </row>
      </sheetData>
      <sheetData sheetId="340">
        <row r="19">
          <cell r="B19">
            <v>0</v>
          </cell>
        </row>
      </sheetData>
      <sheetData sheetId="341">
        <row r="19">
          <cell r="B19">
            <v>0</v>
          </cell>
        </row>
      </sheetData>
      <sheetData sheetId="342">
        <row r="19">
          <cell r="B19">
            <v>0</v>
          </cell>
        </row>
      </sheetData>
      <sheetData sheetId="343">
        <row r="19">
          <cell r="B19">
            <v>0</v>
          </cell>
        </row>
      </sheetData>
      <sheetData sheetId="344">
        <row r="19">
          <cell r="B19">
            <v>0</v>
          </cell>
        </row>
      </sheetData>
      <sheetData sheetId="345">
        <row r="19">
          <cell r="B19" t="str">
            <v>02.厚板</v>
          </cell>
        </row>
      </sheetData>
      <sheetData sheetId="346">
        <row r="19">
          <cell r="B19" t="str">
            <v>02.厚板</v>
          </cell>
        </row>
      </sheetData>
      <sheetData sheetId="347">
        <row r="19">
          <cell r="B19" t="str">
            <v>02.厚板</v>
          </cell>
        </row>
      </sheetData>
      <sheetData sheetId="348">
        <row r="19">
          <cell r="B19">
            <v>0</v>
          </cell>
        </row>
      </sheetData>
      <sheetData sheetId="349">
        <row r="19">
          <cell r="B19">
            <v>0</v>
          </cell>
        </row>
      </sheetData>
      <sheetData sheetId="350">
        <row r="19">
          <cell r="B19">
            <v>0</v>
          </cell>
        </row>
      </sheetData>
      <sheetData sheetId="351">
        <row r="19">
          <cell r="B19" t="str">
            <v>02.厚板</v>
          </cell>
        </row>
      </sheetData>
      <sheetData sheetId="352">
        <row r="19">
          <cell r="B19" t="str">
            <v>02.厚板</v>
          </cell>
        </row>
      </sheetData>
      <sheetData sheetId="353">
        <row r="19">
          <cell r="B19" t="str">
            <v>02.厚板</v>
          </cell>
        </row>
      </sheetData>
      <sheetData sheetId="354">
        <row r="19">
          <cell r="B19">
            <v>0</v>
          </cell>
        </row>
      </sheetData>
      <sheetData sheetId="355">
        <row r="19">
          <cell r="B19">
            <v>0</v>
          </cell>
        </row>
      </sheetData>
      <sheetData sheetId="356">
        <row r="19">
          <cell r="B19">
            <v>0</v>
          </cell>
        </row>
      </sheetData>
      <sheetData sheetId="357">
        <row r="19">
          <cell r="B19">
            <v>0</v>
          </cell>
        </row>
      </sheetData>
      <sheetData sheetId="358">
        <row r="19">
          <cell r="B19">
            <v>0</v>
          </cell>
        </row>
      </sheetData>
      <sheetData sheetId="359">
        <row r="19">
          <cell r="B19">
            <v>0</v>
          </cell>
        </row>
      </sheetData>
      <sheetData sheetId="360">
        <row r="19">
          <cell r="B19" t="str">
            <v>02.厚板</v>
          </cell>
        </row>
      </sheetData>
      <sheetData sheetId="361">
        <row r="19">
          <cell r="B19" t="str">
            <v>02.厚板</v>
          </cell>
        </row>
      </sheetData>
      <sheetData sheetId="362"/>
      <sheetData sheetId="363"/>
      <sheetData sheetId="364">
        <row r="19">
          <cell r="B19">
            <v>0</v>
          </cell>
        </row>
      </sheetData>
      <sheetData sheetId="365">
        <row r="19">
          <cell r="B19">
            <v>0</v>
          </cell>
        </row>
      </sheetData>
      <sheetData sheetId="366">
        <row r="19">
          <cell r="B19" t="str">
            <v>02.厚板</v>
          </cell>
        </row>
      </sheetData>
      <sheetData sheetId="367">
        <row r="19">
          <cell r="B19" t="str">
            <v>02.厚板</v>
          </cell>
        </row>
      </sheetData>
      <sheetData sheetId="368">
        <row r="19">
          <cell r="B19" t="str">
            <v>02.厚板</v>
          </cell>
        </row>
      </sheetData>
      <sheetData sheetId="369"/>
      <sheetData sheetId="370"/>
      <sheetData sheetId="371"/>
      <sheetData sheetId="372"/>
      <sheetData sheetId="373"/>
      <sheetData sheetId="374">
        <row r="19">
          <cell r="B19">
            <v>0</v>
          </cell>
        </row>
      </sheetData>
      <sheetData sheetId="375">
        <row r="19">
          <cell r="B19">
            <v>0</v>
          </cell>
        </row>
      </sheetData>
      <sheetData sheetId="376">
        <row r="19">
          <cell r="B19">
            <v>0</v>
          </cell>
        </row>
      </sheetData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>
        <row r="19">
          <cell r="B19" t="str">
            <v>02.厚板</v>
          </cell>
        </row>
      </sheetData>
      <sheetData sheetId="391"/>
      <sheetData sheetId="392"/>
      <sheetData sheetId="393"/>
      <sheetData sheetId="394">
        <row r="19">
          <cell r="B19">
            <v>0</v>
          </cell>
        </row>
      </sheetData>
      <sheetData sheetId="395">
        <row r="19">
          <cell r="B19">
            <v>0</v>
          </cell>
        </row>
      </sheetData>
      <sheetData sheetId="396">
        <row r="19">
          <cell r="B19">
            <v>0</v>
          </cell>
        </row>
      </sheetData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>
        <row r="19">
          <cell r="B19" t="str">
            <v>02.厚板</v>
          </cell>
        </row>
      </sheetData>
      <sheetData sheetId="409"/>
      <sheetData sheetId="410"/>
      <sheetData sheetId="411"/>
      <sheetData sheetId="412"/>
      <sheetData sheetId="413"/>
      <sheetData sheetId="414">
        <row r="19">
          <cell r="B19">
            <v>0</v>
          </cell>
        </row>
      </sheetData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>
        <row r="19">
          <cell r="B19" t="str">
            <v>02.厚板</v>
          </cell>
        </row>
      </sheetData>
      <sheetData sheetId="429"/>
      <sheetData sheetId="430"/>
      <sheetData sheetId="431"/>
      <sheetData sheetId="432"/>
      <sheetData sheetId="433"/>
      <sheetData sheetId="434">
        <row r="19">
          <cell r="B19">
            <v>0</v>
          </cell>
        </row>
      </sheetData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>
        <row r="19">
          <cell r="B19" t="str">
            <v>02.厚板</v>
          </cell>
        </row>
      </sheetData>
      <sheetData sheetId="449"/>
      <sheetData sheetId="450"/>
      <sheetData sheetId="451"/>
      <sheetData sheetId="452"/>
      <sheetData sheetId="453"/>
      <sheetData sheetId="454">
        <row r="19">
          <cell r="B19">
            <v>0</v>
          </cell>
        </row>
      </sheetData>
      <sheetData sheetId="455">
        <row r="19">
          <cell r="B19">
            <v>0</v>
          </cell>
        </row>
      </sheetData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19">
          <cell r="B19" t="str">
            <v>02.厚板</v>
          </cell>
        </row>
      </sheetData>
      <sheetData sheetId="467"/>
      <sheetData sheetId="468"/>
      <sheetData sheetId="469"/>
      <sheetData sheetId="470"/>
      <sheetData sheetId="471"/>
      <sheetData sheetId="472"/>
      <sheetData sheetId="473"/>
      <sheetData sheetId="474">
        <row r="19">
          <cell r="B19">
            <v>0</v>
          </cell>
        </row>
      </sheetData>
      <sheetData sheetId="475">
        <row r="19">
          <cell r="B19">
            <v>0</v>
          </cell>
        </row>
      </sheetData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>
        <row r="19">
          <cell r="B19" t="str">
            <v>02.厚板</v>
          </cell>
        </row>
      </sheetData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>
        <row r="19">
          <cell r="B19">
            <v>0</v>
          </cell>
        </row>
      </sheetData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>
        <row r="19">
          <cell r="B19" t="str">
            <v>Klaus Döltl</v>
          </cell>
        </row>
      </sheetData>
      <sheetData sheetId="510"/>
      <sheetData sheetId="511"/>
      <sheetData sheetId="512"/>
      <sheetData sheetId="513"/>
      <sheetData sheetId="514"/>
      <sheetData sheetId="515"/>
      <sheetData sheetId="516">
        <row r="19">
          <cell r="B19">
            <v>0</v>
          </cell>
        </row>
      </sheetData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>
        <row r="19">
          <cell r="B19" t="str">
            <v>Klaus Döltl</v>
          </cell>
        </row>
      </sheetData>
      <sheetData sheetId="526"/>
      <sheetData sheetId="527">
        <row r="19">
          <cell r="B19" t="str">
            <v>Klaus Döltl</v>
          </cell>
        </row>
      </sheetData>
      <sheetData sheetId="528"/>
      <sheetData sheetId="529">
        <row r="19">
          <cell r="B19" t="str">
            <v>Alquiler depot</v>
          </cell>
        </row>
      </sheetData>
      <sheetData sheetId="530"/>
      <sheetData sheetId="531">
        <row r="19">
          <cell r="B19" t="str">
            <v>Alquiler depot</v>
          </cell>
        </row>
      </sheetData>
      <sheetData sheetId="532"/>
      <sheetData sheetId="533">
        <row r="19">
          <cell r="B19" t="str">
            <v>Alquiler depot</v>
          </cell>
        </row>
      </sheetData>
      <sheetData sheetId="534"/>
      <sheetData sheetId="535">
        <row r="19">
          <cell r="B19" t="str">
            <v>Alquiler depot</v>
          </cell>
        </row>
      </sheetData>
      <sheetData sheetId="536"/>
      <sheetData sheetId="537">
        <row r="19">
          <cell r="B19" t="str">
            <v>Alquiler depot</v>
          </cell>
        </row>
      </sheetData>
      <sheetData sheetId="538"/>
      <sheetData sheetId="539">
        <row r="19">
          <cell r="B19" t="str">
            <v>Alquiler depot</v>
          </cell>
        </row>
      </sheetData>
      <sheetData sheetId="540"/>
      <sheetData sheetId="541">
        <row r="19">
          <cell r="B19" t="str">
            <v>Alquiler depot</v>
          </cell>
        </row>
      </sheetData>
      <sheetData sheetId="542"/>
      <sheetData sheetId="543">
        <row r="19">
          <cell r="B19" t="str">
            <v>Alquiler depot</v>
          </cell>
        </row>
      </sheetData>
      <sheetData sheetId="544"/>
      <sheetData sheetId="545"/>
      <sheetData sheetId="546"/>
      <sheetData sheetId="547"/>
      <sheetData sheetId="548"/>
      <sheetData sheetId="549"/>
      <sheetData sheetId="550"/>
      <sheetData sheetId="551">
        <row r="19">
          <cell r="B19" t="str">
            <v>Alquiler depot</v>
          </cell>
        </row>
      </sheetData>
      <sheetData sheetId="552"/>
      <sheetData sheetId="553">
        <row r="19">
          <cell r="B19" t="str">
            <v>Alquiler depot</v>
          </cell>
        </row>
      </sheetData>
      <sheetData sheetId="554"/>
      <sheetData sheetId="555">
        <row r="19">
          <cell r="B19" t="str">
            <v>Alquiler depot</v>
          </cell>
        </row>
      </sheetData>
      <sheetData sheetId="556"/>
      <sheetData sheetId="557">
        <row r="19">
          <cell r="B19" t="str">
            <v>Alquiler depot</v>
          </cell>
        </row>
      </sheetData>
      <sheetData sheetId="558"/>
      <sheetData sheetId="559">
        <row r="19">
          <cell r="B19" t="str">
            <v>Alquiler depot</v>
          </cell>
        </row>
      </sheetData>
      <sheetData sheetId="560"/>
      <sheetData sheetId="561">
        <row r="19">
          <cell r="B19" t="str">
            <v>Alquiler depot</v>
          </cell>
        </row>
      </sheetData>
      <sheetData sheetId="562"/>
      <sheetData sheetId="563">
        <row r="19">
          <cell r="B19" t="str">
            <v>Alquiler depot</v>
          </cell>
        </row>
      </sheetData>
      <sheetData sheetId="564"/>
      <sheetData sheetId="565"/>
      <sheetData sheetId="566"/>
      <sheetData sheetId="567"/>
      <sheetData sheetId="568"/>
      <sheetData sheetId="569"/>
      <sheetData sheetId="570"/>
      <sheetData sheetId="571">
        <row r="19">
          <cell r="B19" t="str">
            <v>Alquiler depot</v>
          </cell>
        </row>
      </sheetData>
      <sheetData sheetId="572"/>
      <sheetData sheetId="573">
        <row r="19">
          <cell r="B19" t="str">
            <v>Alquiler depot</v>
          </cell>
        </row>
      </sheetData>
      <sheetData sheetId="574"/>
      <sheetData sheetId="575">
        <row r="19">
          <cell r="B19" t="str">
            <v>Alquiler depot</v>
          </cell>
        </row>
      </sheetData>
      <sheetData sheetId="576"/>
      <sheetData sheetId="577">
        <row r="19">
          <cell r="B19" t="str">
            <v>Alquiler depot</v>
          </cell>
        </row>
      </sheetData>
      <sheetData sheetId="578"/>
      <sheetData sheetId="579">
        <row r="19">
          <cell r="B19" t="str">
            <v>Alquiler depot</v>
          </cell>
        </row>
      </sheetData>
      <sheetData sheetId="580"/>
      <sheetData sheetId="581">
        <row r="19">
          <cell r="B19" t="str">
            <v>Alquiler depot</v>
          </cell>
        </row>
      </sheetData>
      <sheetData sheetId="582"/>
      <sheetData sheetId="583">
        <row r="19">
          <cell r="B19" t="str">
            <v>Alquiler depot</v>
          </cell>
        </row>
      </sheetData>
      <sheetData sheetId="584"/>
      <sheetData sheetId="585">
        <row r="19">
          <cell r="B19" t="str">
            <v>Alquiler depot</v>
          </cell>
        </row>
      </sheetData>
      <sheetData sheetId="586"/>
      <sheetData sheetId="587">
        <row r="19">
          <cell r="B19" t="str">
            <v>Alquiler depot</v>
          </cell>
        </row>
      </sheetData>
      <sheetData sheetId="588"/>
      <sheetData sheetId="589"/>
      <sheetData sheetId="590"/>
      <sheetData sheetId="591"/>
      <sheetData sheetId="592"/>
      <sheetData sheetId="593">
        <row r="19">
          <cell r="B19" t="str">
            <v>Alquiler depot</v>
          </cell>
        </row>
      </sheetData>
      <sheetData sheetId="594"/>
      <sheetData sheetId="595">
        <row r="19">
          <cell r="B19" t="str">
            <v>Alquiler depot</v>
          </cell>
        </row>
      </sheetData>
      <sheetData sheetId="596"/>
      <sheetData sheetId="597">
        <row r="19">
          <cell r="B19" t="str">
            <v>Alquiler depot</v>
          </cell>
        </row>
      </sheetData>
      <sheetData sheetId="598"/>
      <sheetData sheetId="599">
        <row r="19">
          <cell r="B19" t="str">
            <v>Alquiler depot</v>
          </cell>
        </row>
      </sheetData>
      <sheetData sheetId="600">
        <row r="19">
          <cell r="B19" t="str">
            <v>Alquiler depot</v>
          </cell>
        </row>
      </sheetData>
      <sheetData sheetId="601">
        <row r="19">
          <cell r="B19" t="str">
            <v>Alquiler depot</v>
          </cell>
        </row>
      </sheetData>
      <sheetData sheetId="602">
        <row r="19">
          <cell r="B19" t="str">
            <v>Alquiler depot</v>
          </cell>
        </row>
      </sheetData>
      <sheetData sheetId="603">
        <row r="19">
          <cell r="B19" t="str">
            <v>Alquiler depot</v>
          </cell>
        </row>
      </sheetData>
      <sheetData sheetId="604">
        <row r="19">
          <cell r="B19" t="str">
            <v>Alquiler depot</v>
          </cell>
        </row>
      </sheetData>
      <sheetData sheetId="605">
        <row r="19">
          <cell r="B19" t="str">
            <v>Alquiler depot</v>
          </cell>
        </row>
      </sheetData>
      <sheetData sheetId="606">
        <row r="19">
          <cell r="B19" t="str">
            <v>Alquiler depot</v>
          </cell>
        </row>
      </sheetData>
      <sheetData sheetId="607">
        <row r="19">
          <cell r="B19" t="str">
            <v>Alquiler depot</v>
          </cell>
        </row>
      </sheetData>
      <sheetData sheetId="608">
        <row r="19">
          <cell r="B19" t="str">
            <v>Alquiler depot</v>
          </cell>
        </row>
      </sheetData>
      <sheetData sheetId="609"/>
      <sheetData sheetId="610">
        <row r="19">
          <cell r="B19" t="str">
            <v>Alquiler depot</v>
          </cell>
        </row>
      </sheetData>
      <sheetData sheetId="611"/>
      <sheetData sheetId="612">
        <row r="19">
          <cell r="B19" t="str">
            <v>Alquiler depot</v>
          </cell>
        </row>
      </sheetData>
      <sheetData sheetId="613"/>
      <sheetData sheetId="614">
        <row r="19">
          <cell r="B19" t="str">
            <v>Alquiler depot</v>
          </cell>
        </row>
      </sheetData>
      <sheetData sheetId="615"/>
      <sheetData sheetId="616">
        <row r="19">
          <cell r="B19" t="str">
            <v>Alquiler depot</v>
          </cell>
        </row>
      </sheetData>
      <sheetData sheetId="617"/>
      <sheetData sheetId="618"/>
      <sheetData sheetId="619"/>
      <sheetData sheetId="620"/>
      <sheetData sheetId="621"/>
      <sheetData sheetId="622">
        <row r="19">
          <cell r="B19" t="str">
            <v>Alquiler depot</v>
          </cell>
        </row>
      </sheetData>
      <sheetData sheetId="623"/>
      <sheetData sheetId="624">
        <row r="19">
          <cell r="B19" t="str">
            <v>Alquiler depot</v>
          </cell>
        </row>
      </sheetData>
      <sheetData sheetId="625"/>
      <sheetData sheetId="626">
        <row r="19">
          <cell r="B19" t="str">
            <v>Alquiler depot</v>
          </cell>
        </row>
      </sheetData>
      <sheetData sheetId="627"/>
      <sheetData sheetId="628">
        <row r="19">
          <cell r="B19" t="str">
            <v>Alquiler depot</v>
          </cell>
        </row>
      </sheetData>
      <sheetData sheetId="629"/>
      <sheetData sheetId="630">
        <row r="19">
          <cell r="B19" t="str">
            <v>Alquiler depot</v>
          </cell>
        </row>
      </sheetData>
      <sheetData sheetId="631"/>
      <sheetData sheetId="632">
        <row r="19">
          <cell r="B19" t="str">
            <v>Alquiler depot</v>
          </cell>
        </row>
      </sheetData>
      <sheetData sheetId="633"/>
      <sheetData sheetId="634">
        <row r="19">
          <cell r="B19" t="str">
            <v>Alquiler depot</v>
          </cell>
        </row>
      </sheetData>
      <sheetData sheetId="635"/>
      <sheetData sheetId="636">
        <row r="19">
          <cell r="B19" t="str">
            <v>Alquiler depot</v>
          </cell>
        </row>
      </sheetData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>
        <row r="19">
          <cell r="B19" t="str">
            <v>Klaus Döltl</v>
          </cell>
        </row>
      </sheetData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>
        <row r="19">
          <cell r="B19" t="str">
            <v>Alquiler depot</v>
          </cell>
        </row>
      </sheetData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>
        <row r="19">
          <cell r="B19" t="str">
            <v>Klaus Döltl</v>
          </cell>
        </row>
      </sheetData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>
        <row r="19">
          <cell r="B19" t="str">
            <v>Klaus Döltl</v>
          </cell>
        </row>
      </sheetData>
      <sheetData sheetId="696">
        <row r="19">
          <cell r="B19" t="str">
            <v>Klaus Döltl</v>
          </cell>
        </row>
      </sheetData>
      <sheetData sheetId="697"/>
      <sheetData sheetId="698"/>
      <sheetData sheetId="699">
        <row r="19">
          <cell r="B19" t="str">
            <v>Alquiler depot</v>
          </cell>
        </row>
      </sheetData>
      <sheetData sheetId="700">
        <row r="19">
          <cell r="B19" t="str">
            <v>Klaus Döltl</v>
          </cell>
        </row>
      </sheetData>
      <sheetData sheetId="701">
        <row r="19">
          <cell r="B19" t="str">
            <v>Alquiler depot</v>
          </cell>
        </row>
      </sheetData>
      <sheetData sheetId="702"/>
      <sheetData sheetId="703">
        <row r="19">
          <cell r="B19" t="str">
            <v>Klaus Döltl</v>
          </cell>
        </row>
      </sheetData>
      <sheetData sheetId="704"/>
      <sheetData sheetId="705">
        <row r="19">
          <cell r="B19" t="str">
            <v>Klaus Döltl</v>
          </cell>
        </row>
      </sheetData>
      <sheetData sheetId="706">
        <row r="19">
          <cell r="B19" t="str">
            <v>Alquiler depot</v>
          </cell>
        </row>
      </sheetData>
      <sheetData sheetId="707">
        <row r="19">
          <cell r="B19" t="str">
            <v>Alquiler depot</v>
          </cell>
        </row>
      </sheetData>
      <sheetData sheetId="708">
        <row r="19">
          <cell r="B19" t="str">
            <v>Alquiler depot</v>
          </cell>
        </row>
      </sheetData>
      <sheetData sheetId="709"/>
      <sheetData sheetId="710">
        <row r="19">
          <cell r="B19" t="str">
            <v>Klaus Döltl</v>
          </cell>
        </row>
      </sheetData>
      <sheetData sheetId="711"/>
      <sheetData sheetId="712">
        <row r="19">
          <cell r="B19" t="str">
            <v>Alquiler depot</v>
          </cell>
        </row>
      </sheetData>
      <sheetData sheetId="713">
        <row r="19">
          <cell r="B19" t="str">
            <v>Klaus Döltl</v>
          </cell>
        </row>
      </sheetData>
      <sheetData sheetId="714">
        <row r="19">
          <cell r="B19" t="str">
            <v>02.厚板</v>
          </cell>
        </row>
      </sheetData>
      <sheetData sheetId="715">
        <row r="19">
          <cell r="B19" t="str">
            <v>Klaus Döltl</v>
          </cell>
        </row>
      </sheetData>
      <sheetData sheetId="716">
        <row r="19">
          <cell r="B19" t="str">
            <v>Klaus Döltl</v>
          </cell>
        </row>
      </sheetData>
      <sheetData sheetId="717">
        <row r="19">
          <cell r="B19" t="str">
            <v>Alquiler depot</v>
          </cell>
        </row>
      </sheetData>
      <sheetData sheetId="718"/>
      <sheetData sheetId="719"/>
      <sheetData sheetId="720"/>
      <sheetData sheetId="721">
        <row r="19">
          <cell r="B19" t="str">
            <v>Alquiler depot</v>
          </cell>
        </row>
      </sheetData>
      <sheetData sheetId="722">
        <row r="19">
          <cell r="B19" t="str">
            <v>Klaus Döltl</v>
          </cell>
        </row>
      </sheetData>
      <sheetData sheetId="723"/>
      <sheetData sheetId="724">
        <row r="19">
          <cell r="B19" t="str">
            <v>Alquiler depot</v>
          </cell>
        </row>
      </sheetData>
      <sheetData sheetId="725"/>
      <sheetData sheetId="726">
        <row r="19">
          <cell r="B19" t="str">
            <v>Alquiler depot</v>
          </cell>
        </row>
      </sheetData>
      <sheetData sheetId="727"/>
      <sheetData sheetId="728">
        <row r="19">
          <cell r="B19" t="str">
            <v>Alquiler depot</v>
          </cell>
        </row>
      </sheetData>
      <sheetData sheetId="729"/>
      <sheetData sheetId="730">
        <row r="19">
          <cell r="B19" t="str">
            <v>Klaus Döltl</v>
          </cell>
        </row>
      </sheetData>
      <sheetData sheetId="731"/>
      <sheetData sheetId="732">
        <row r="19">
          <cell r="B19" t="str">
            <v>Klaus Döltl</v>
          </cell>
        </row>
      </sheetData>
      <sheetData sheetId="733"/>
      <sheetData sheetId="734">
        <row r="19">
          <cell r="B19" t="str">
            <v>Alquiler depot</v>
          </cell>
        </row>
      </sheetData>
      <sheetData sheetId="735">
        <row r="19">
          <cell r="B19" t="str">
            <v>Klaus Döltl</v>
          </cell>
        </row>
      </sheetData>
      <sheetData sheetId="736">
        <row r="19">
          <cell r="B19" t="str">
            <v>Klaus Döltl</v>
          </cell>
        </row>
      </sheetData>
      <sheetData sheetId="737"/>
      <sheetData sheetId="738"/>
      <sheetData sheetId="739"/>
      <sheetData sheetId="740">
        <row r="19">
          <cell r="B19" t="str">
            <v>Klaus Döltl</v>
          </cell>
        </row>
      </sheetData>
      <sheetData sheetId="741">
        <row r="19">
          <cell r="B19" t="str">
            <v>Alquiler depot</v>
          </cell>
        </row>
      </sheetData>
      <sheetData sheetId="742">
        <row r="19">
          <cell r="B19" t="str">
            <v>Klaus Döltl</v>
          </cell>
        </row>
      </sheetData>
      <sheetData sheetId="743">
        <row r="19">
          <cell r="B19" t="str">
            <v>Klaus Döltl</v>
          </cell>
        </row>
      </sheetData>
      <sheetData sheetId="744"/>
      <sheetData sheetId="745">
        <row r="19">
          <cell r="B19" t="str">
            <v>Klaus Döltl</v>
          </cell>
        </row>
      </sheetData>
      <sheetData sheetId="746">
        <row r="19">
          <cell r="B19" t="str">
            <v>Alquiler depot</v>
          </cell>
        </row>
      </sheetData>
      <sheetData sheetId="747"/>
      <sheetData sheetId="748">
        <row r="19">
          <cell r="B19" t="str">
            <v>Alquiler depot</v>
          </cell>
        </row>
      </sheetData>
      <sheetData sheetId="749">
        <row r="19">
          <cell r="B19" t="str">
            <v>Klaus Döltl</v>
          </cell>
        </row>
      </sheetData>
      <sheetData sheetId="750">
        <row r="19">
          <cell r="B19" t="str">
            <v>Klaus Döltl</v>
          </cell>
        </row>
      </sheetData>
      <sheetData sheetId="751">
        <row r="19">
          <cell r="B19" t="str">
            <v>Alquiler depot</v>
          </cell>
        </row>
      </sheetData>
      <sheetData sheetId="752">
        <row r="19">
          <cell r="B19" t="str">
            <v>Klaus Döltl</v>
          </cell>
        </row>
      </sheetData>
      <sheetData sheetId="753">
        <row r="19">
          <cell r="B19" t="str">
            <v>02.厚板</v>
          </cell>
        </row>
      </sheetData>
      <sheetData sheetId="754">
        <row r="19">
          <cell r="B19" t="str">
            <v>Klaus Döltl</v>
          </cell>
        </row>
      </sheetData>
      <sheetData sheetId="755">
        <row r="19">
          <cell r="B19" t="str">
            <v>Klaus Döltl</v>
          </cell>
        </row>
      </sheetData>
      <sheetData sheetId="756"/>
      <sheetData sheetId="757">
        <row r="19">
          <cell r="B19" t="str">
            <v>Klaus Döltl</v>
          </cell>
        </row>
      </sheetData>
      <sheetData sheetId="758"/>
      <sheetData sheetId="759">
        <row r="19">
          <cell r="B19" t="str">
            <v>Alquiler depot</v>
          </cell>
        </row>
      </sheetData>
      <sheetData sheetId="760">
        <row r="19">
          <cell r="B19" t="str">
            <v>Alquiler depot</v>
          </cell>
        </row>
      </sheetData>
      <sheetData sheetId="761">
        <row r="19">
          <cell r="B19" t="str">
            <v>Klaus Döltl</v>
          </cell>
        </row>
      </sheetData>
      <sheetData sheetId="762"/>
      <sheetData sheetId="763">
        <row r="19">
          <cell r="B19" t="str">
            <v>Alquiler depot</v>
          </cell>
        </row>
      </sheetData>
      <sheetData sheetId="764"/>
      <sheetData sheetId="765">
        <row r="19">
          <cell r="B19" t="str">
            <v>02.厚板</v>
          </cell>
        </row>
      </sheetData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>
        <row r="19">
          <cell r="B19" t="str">
            <v>Klaus Döltl</v>
          </cell>
        </row>
      </sheetData>
      <sheetData sheetId="782">
        <row r="19">
          <cell r="B19" t="str">
            <v>Alquiler depot</v>
          </cell>
        </row>
      </sheetData>
      <sheetData sheetId="783"/>
      <sheetData sheetId="784"/>
      <sheetData sheetId="785"/>
      <sheetData sheetId="786">
        <row r="19">
          <cell r="B19" t="str">
            <v>Klaus Döltl</v>
          </cell>
        </row>
      </sheetData>
      <sheetData sheetId="787"/>
      <sheetData sheetId="788">
        <row r="19">
          <cell r="B19" t="str">
            <v>Alquiler depot</v>
          </cell>
        </row>
      </sheetData>
      <sheetData sheetId="789"/>
      <sheetData sheetId="790">
        <row r="19">
          <cell r="B19" t="str">
            <v>Klaus Döltl</v>
          </cell>
        </row>
      </sheetData>
      <sheetData sheetId="791"/>
      <sheetData sheetId="792">
        <row r="19">
          <cell r="B19" t="str">
            <v>Alquiler depot</v>
          </cell>
        </row>
      </sheetData>
      <sheetData sheetId="793">
        <row r="19">
          <cell r="B19" t="str">
            <v>Klaus Döltl</v>
          </cell>
        </row>
      </sheetData>
      <sheetData sheetId="794">
        <row r="19">
          <cell r="B19" t="str">
            <v>Alquiler depot</v>
          </cell>
        </row>
      </sheetData>
      <sheetData sheetId="795">
        <row r="19">
          <cell r="B19" t="str">
            <v>Klaus Döltl</v>
          </cell>
        </row>
      </sheetData>
      <sheetData sheetId="796"/>
      <sheetData sheetId="797"/>
      <sheetData sheetId="798">
        <row r="19">
          <cell r="B19" t="str">
            <v>Alquiler depot</v>
          </cell>
        </row>
      </sheetData>
      <sheetData sheetId="799"/>
      <sheetData sheetId="800"/>
      <sheetData sheetId="801"/>
      <sheetData sheetId="802"/>
      <sheetData sheetId="803">
        <row r="19">
          <cell r="B19" t="str">
            <v>Alquiler depot</v>
          </cell>
        </row>
      </sheetData>
      <sheetData sheetId="804"/>
      <sheetData sheetId="805">
        <row r="19">
          <cell r="B19" t="str">
            <v>Alquiler depot</v>
          </cell>
        </row>
      </sheetData>
      <sheetData sheetId="806"/>
      <sheetData sheetId="807">
        <row r="19">
          <cell r="B19" t="str">
            <v>Klaus Döltl</v>
          </cell>
        </row>
      </sheetData>
      <sheetData sheetId="808"/>
      <sheetData sheetId="809"/>
      <sheetData sheetId="810"/>
      <sheetData sheetId="811"/>
      <sheetData sheetId="812"/>
      <sheetData sheetId="813"/>
      <sheetData sheetId="814"/>
      <sheetData sheetId="815">
        <row r="19">
          <cell r="B19" t="str">
            <v>Alquiler depot</v>
          </cell>
        </row>
      </sheetData>
      <sheetData sheetId="816"/>
      <sheetData sheetId="817">
        <row r="19">
          <cell r="B19" t="str">
            <v>Alquiler depot</v>
          </cell>
        </row>
      </sheetData>
      <sheetData sheetId="818"/>
      <sheetData sheetId="819">
        <row r="19">
          <cell r="B19" t="str">
            <v>Klaus Döltl</v>
          </cell>
        </row>
      </sheetData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>
        <row r="19">
          <cell r="B19" t="str">
            <v>Alquiler depot</v>
          </cell>
        </row>
      </sheetData>
      <sheetData sheetId="842"/>
      <sheetData sheetId="843"/>
      <sheetData sheetId="844"/>
      <sheetData sheetId="845">
        <row r="19">
          <cell r="B19" t="str">
            <v>Klaus Döltl</v>
          </cell>
        </row>
      </sheetData>
      <sheetData sheetId="846"/>
      <sheetData sheetId="847"/>
      <sheetData sheetId="848"/>
      <sheetData sheetId="849"/>
      <sheetData sheetId="850"/>
      <sheetData sheetId="851"/>
      <sheetData sheetId="852"/>
      <sheetData sheetId="853">
        <row r="19">
          <cell r="B19" t="str">
            <v>Alquiler depot</v>
          </cell>
        </row>
      </sheetData>
      <sheetData sheetId="854"/>
      <sheetData sheetId="855"/>
      <sheetData sheetId="856"/>
      <sheetData sheetId="857">
        <row r="19">
          <cell r="B19" t="str">
            <v>Klaus Döltl</v>
          </cell>
        </row>
      </sheetData>
      <sheetData sheetId="858"/>
      <sheetData sheetId="859"/>
      <sheetData sheetId="860"/>
      <sheetData sheetId="861"/>
      <sheetData sheetId="862"/>
      <sheetData sheetId="863"/>
      <sheetData sheetId="864"/>
      <sheetData sheetId="865">
        <row r="19">
          <cell r="B19" t="str">
            <v>Alquiler depot</v>
          </cell>
        </row>
      </sheetData>
      <sheetData sheetId="866"/>
      <sheetData sheetId="867"/>
      <sheetData sheetId="868"/>
      <sheetData sheetId="869">
        <row r="19">
          <cell r="B19" t="str">
            <v>Klaus Döltl</v>
          </cell>
        </row>
      </sheetData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>
        <row r="19">
          <cell r="B19" t="str">
            <v>02.厚板</v>
          </cell>
        </row>
      </sheetData>
      <sheetData sheetId="886">
        <row r="19">
          <cell r="B19" t="str">
            <v>Klaus Döltl</v>
          </cell>
        </row>
      </sheetData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>
        <row r="19">
          <cell r="B19" t="str">
            <v>02.厚板</v>
          </cell>
        </row>
      </sheetData>
      <sheetData sheetId="898">
        <row r="19">
          <cell r="B19" t="str">
            <v>Klaus Döltl</v>
          </cell>
        </row>
      </sheetData>
      <sheetData sheetId="899">
        <row r="19">
          <cell r="B19" t="str">
            <v>Alquiler depot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>
        <row r="19">
          <cell r="B19" t="str">
            <v>Alquiler depot</v>
          </cell>
        </row>
      </sheetData>
      <sheetData sheetId="910">
        <row r="19">
          <cell r="B19" t="str">
            <v>Klaus Döltl</v>
          </cell>
        </row>
      </sheetData>
      <sheetData sheetId="911">
        <row r="19">
          <cell r="B19" t="str">
            <v>Alquiler depot</v>
          </cell>
        </row>
      </sheetData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>
        <row r="19">
          <cell r="B19" t="str">
            <v>Alquiler depot</v>
          </cell>
        </row>
      </sheetData>
      <sheetData sheetId="922"/>
      <sheetData sheetId="923">
        <row r="19">
          <cell r="B19" t="str">
            <v>Alquiler depot</v>
          </cell>
        </row>
      </sheetData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>
        <row r="19">
          <cell r="B19" t="str">
            <v>Klaus Döltl</v>
          </cell>
        </row>
      </sheetData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>
        <row r="19">
          <cell r="B19" t="str">
            <v>Alquiler depot</v>
          </cell>
        </row>
      </sheetData>
      <sheetData sheetId="949">
        <row r="19">
          <cell r="B19" t="str">
            <v>Klaus Döltl</v>
          </cell>
        </row>
      </sheetData>
      <sheetData sheetId="950">
        <row r="19">
          <cell r="B19" t="str">
            <v>Alquiler depot</v>
          </cell>
        </row>
      </sheetData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>
        <row r="19">
          <cell r="B19" t="str">
            <v>Alquiler depot</v>
          </cell>
        </row>
      </sheetData>
      <sheetData sheetId="961">
        <row r="19">
          <cell r="B19" t="str">
            <v>Klaus Döltl</v>
          </cell>
        </row>
      </sheetData>
      <sheetData sheetId="962">
        <row r="19">
          <cell r="B19" t="str">
            <v>Alquiler depot</v>
          </cell>
        </row>
      </sheetData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>
        <row r="19">
          <cell r="B19" t="str">
            <v>Alquiler depot</v>
          </cell>
        </row>
      </sheetData>
      <sheetData sheetId="973"/>
      <sheetData sheetId="974">
        <row r="19">
          <cell r="B19" t="str">
            <v>Alquiler depot</v>
          </cell>
        </row>
      </sheetData>
      <sheetData sheetId="975"/>
      <sheetData sheetId="976"/>
      <sheetData sheetId="977"/>
      <sheetData sheetId="978"/>
      <sheetData sheetId="979"/>
      <sheetData sheetId="980">
        <row r="19">
          <cell r="B19" t="str">
            <v>Klaus Döltl</v>
          </cell>
        </row>
      </sheetData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>
        <row r="19">
          <cell r="B19" t="str">
            <v>Alquiler depot</v>
          </cell>
        </row>
      </sheetData>
      <sheetData sheetId="992">
        <row r="19">
          <cell r="B19" t="str">
            <v>Klaus Döltl</v>
          </cell>
        </row>
      </sheetData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>
        <row r="19">
          <cell r="B19" t="str">
            <v>Alquiler depot</v>
          </cell>
        </row>
      </sheetData>
      <sheetData sheetId="1004"/>
      <sheetData sheetId="1005"/>
      <sheetData sheetId="1006"/>
      <sheetData sheetId="1007"/>
      <sheetData sheetId="1008"/>
      <sheetData sheetId="1009">
        <row r="19">
          <cell r="B19" t="str">
            <v>Alquiler depot</v>
          </cell>
        </row>
      </sheetData>
      <sheetData sheetId="1010"/>
      <sheetData sheetId="1011"/>
      <sheetData sheetId="1012"/>
      <sheetData sheetId="1013"/>
      <sheetData sheetId="1014"/>
      <sheetData sheetId="1015">
        <row r="19">
          <cell r="B19" t="str">
            <v>Alquiler depot</v>
          </cell>
        </row>
      </sheetData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>
        <row r="19">
          <cell r="B19" t="str">
            <v>Klaus Döltl</v>
          </cell>
        </row>
      </sheetData>
      <sheetData sheetId="1058"/>
      <sheetData sheetId="1059"/>
      <sheetData sheetId="1060"/>
      <sheetData sheetId="1061"/>
      <sheetData sheetId="1062"/>
      <sheetData sheetId="1063">
        <row r="19">
          <cell r="B19" t="str">
            <v>Klaus Döltl</v>
          </cell>
        </row>
      </sheetData>
      <sheetData sheetId="1064"/>
      <sheetData sheetId="1065"/>
      <sheetData sheetId="1066"/>
      <sheetData sheetId="1067"/>
      <sheetData sheetId="1068">
        <row r="19">
          <cell r="B19" t="str">
            <v>Alquiler depot</v>
          </cell>
        </row>
      </sheetData>
      <sheetData sheetId="1069"/>
      <sheetData sheetId="1070"/>
      <sheetData sheetId="1071"/>
      <sheetData sheetId="1072"/>
      <sheetData sheetId="1073"/>
      <sheetData sheetId="1074">
        <row r="19">
          <cell r="B19" t="str">
            <v>Alquiler depot</v>
          </cell>
        </row>
      </sheetData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>
        <row r="19">
          <cell r="B19" t="str">
            <v>Klaus Döltl</v>
          </cell>
        </row>
      </sheetData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>
        <row r="19">
          <cell r="B19" t="str">
            <v>Alquiler depot</v>
          </cell>
        </row>
      </sheetData>
      <sheetData sheetId="1126"/>
      <sheetData sheetId="1127">
        <row r="19">
          <cell r="B19" t="str">
            <v>Alquiler depot</v>
          </cell>
        </row>
      </sheetData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>
        <row r="19">
          <cell r="B19" t="str">
            <v>Klaus Döltl</v>
          </cell>
        </row>
      </sheetData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>
        <row r="19">
          <cell r="B19" t="str">
            <v>Alquiler depot</v>
          </cell>
        </row>
      </sheetData>
      <sheetData sheetId="1177"/>
      <sheetData sheetId="1178"/>
      <sheetData sheetId="1179"/>
      <sheetData sheetId="1180"/>
      <sheetData sheetId="1181"/>
      <sheetData sheetId="1182">
        <row r="19">
          <cell r="B19" t="str">
            <v>Alquiler depot</v>
          </cell>
        </row>
      </sheetData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>
        <row r="19">
          <cell r="B19" t="str">
            <v>Klaus Döltl</v>
          </cell>
        </row>
      </sheetData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>
        <row r="19">
          <cell r="B19" t="str">
            <v>Alquiler depot</v>
          </cell>
        </row>
      </sheetData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>
        <row r="19">
          <cell r="B19" t="str">
            <v>Alquiler depot</v>
          </cell>
        </row>
      </sheetData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>
        <row r="19">
          <cell r="B19" t="str">
            <v>Klaus Döltl</v>
          </cell>
        </row>
      </sheetData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>
        <row r="19">
          <cell r="B19" t="str">
            <v>Alquiler depot</v>
          </cell>
        </row>
      </sheetData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>
        <row r="19">
          <cell r="B19" t="str">
            <v>Klaus Döltl</v>
          </cell>
        </row>
      </sheetData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>
        <row r="19">
          <cell r="B19" t="str">
            <v>Alquiler depot</v>
          </cell>
        </row>
      </sheetData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>
        <row r="19">
          <cell r="B19" t="str">
            <v>Klaus Döltl</v>
          </cell>
        </row>
      </sheetData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>
        <row r="19">
          <cell r="B19" t="str">
            <v>Alquiler depot</v>
          </cell>
        </row>
      </sheetData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>
        <row r="19">
          <cell r="B19" t="str">
            <v>Klaus Döltl</v>
          </cell>
        </row>
      </sheetData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>
        <row r="19">
          <cell r="B19" t="str">
            <v>Alquiler depot</v>
          </cell>
        </row>
      </sheetData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>
        <row r="19">
          <cell r="B19" t="str">
            <v>Klaus Döltl</v>
          </cell>
        </row>
      </sheetData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>
        <row r="19">
          <cell r="B19" t="str">
            <v>Alquiler depot</v>
          </cell>
        </row>
      </sheetData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>
        <row r="19">
          <cell r="B19" t="str">
            <v>Klaus Döltl</v>
          </cell>
        </row>
      </sheetData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>
        <row r="19">
          <cell r="B19" t="str">
            <v>Alquiler depot</v>
          </cell>
        </row>
      </sheetData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>
        <row r="19">
          <cell r="B19" t="str">
            <v>Klaus Döltl</v>
          </cell>
        </row>
      </sheetData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>
        <row r="19">
          <cell r="B19" t="str">
            <v>Alquiler depot</v>
          </cell>
        </row>
      </sheetData>
      <sheetData sheetId="1432"/>
      <sheetData sheetId="1433">
        <row r="19">
          <cell r="B19" t="str">
            <v>Alquiler depot</v>
          </cell>
        </row>
      </sheetData>
      <sheetData sheetId="1434"/>
      <sheetData sheetId="1435"/>
      <sheetData sheetId="1436"/>
      <sheetData sheetId="1437"/>
      <sheetData sheetId="1438"/>
      <sheetData sheetId="1439">
        <row r="19">
          <cell r="B19" t="str">
            <v>Klaus Döltl</v>
          </cell>
        </row>
      </sheetData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>
        <row r="19">
          <cell r="B19" t="str">
            <v>Alquiler depot</v>
          </cell>
        </row>
      </sheetData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>
        <row r="19">
          <cell r="B19" t="str">
            <v>Klaus Döltl</v>
          </cell>
        </row>
      </sheetData>
      <sheetData sheetId="1471">
        <row r="19">
          <cell r="B19" t="str">
            <v>Klaus Döltl</v>
          </cell>
        </row>
      </sheetData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>
        <row r="19">
          <cell r="B19" t="str">
            <v>Alquiler depot</v>
          </cell>
        </row>
      </sheetData>
      <sheetData sheetId="1482">
        <row r="19">
          <cell r="B19" t="str">
            <v>Alquiler depot</v>
          </cell>
        </row>
      </sheetData>
      <sheetData sheetId="1483">
        <row r="19">
          <cell r="B19" t="str">
            <v>Alquiler depot</v>
          </cell>
        </row>
      </sheetData>
      <sheetData sheetId="1484">
        <row r="19">
          <cell r="B19" t="str">
            <v>Alquiler depot</v>
          </cell>
        </row>
      </sheetData>
      <sheetData sheetId="1485"/>
      <sheetData sheetId="1486"/>
      <sheetData sheetId="1487" refreshError="1"/>
      <sheetData sheetId="1488"/>
      <sheetData sheetId="1489"/>
      <sheetData sheetId="1490"/>
      <sheetData sheetId="1491">
        <row r="19">
          <cell r="B19" t="str">
            <v>Klaus Döltl</v>
          </cell>
        </row>
      </sheetData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>
        <row r="19">
          <cell r="B19" t="str">
            <v>Alquiler depot</v>
          </cell>
        </row>
      </sheetData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>
        <row r="19">
          <cell r="B19" t="str">
            <v>Klaus Döltl</v>
          </cell>
        </row>
      </sheetData>
      <sheetData sheetId="1543">
        <row r="19">
          <cell r="B19" t="str">
            <v>Klaus Döltl</v>
          </cell>
        </row>
      </sheetData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>
        <row r="19">
          <cell r="B19" t="str">
            <v>Alquiler depot</v>
          </cell>
        </row>
      </sheetData>
      <sheetData sheetId="1554"/>
      <sheetData sheetId="1555">
        <row r="19">
          <cell r="B19" t="str">
            <v>Alquiler depot</v>
          </cell>
        </row>
      </sheetData>
      <sheetData sheetId="1556"/>
      <sheetData sheetId="1557">
        <row r="19">
          <cell r="B19" t="str">
            <v>Alquiler depot</v>
          </cell>
        </row>
      </sheetData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>
        <row r="19">
          <cell r="B19" t="str">
            <v>Klaus Döltl</v>
          </cell>
        </row>
      </sheetData>
      <sheetData sheetId="1595">
        <row r="19">
          <cell r="B19" t="str">
            <v>Klaus Döltl</v>
          </cell>
        </row>
      </sheetData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>
        <row r="19">
          <cell r="B19" t="str">
            <v>Alquiler depot</v>
          </cell>
        </row>
      </sheetData>
      <sheetData sheetId="1606">
        <row r="19">
          <cell r="B19" t="str">
            <v>Alquiler depot</v>
          </cell>
        </row>
      </sheetData>
      <sheetData sheetId="1607">
        <row r="19">
          <cell r="B19" t="str">
            <v>Alquiler depot</v>
          </cell>
        </row>
      </sheetData>
      <sheetData sheetId="1608">
        <row r="19">
          <cell r="B19" t="str">
            <v>Alquiler depot</v>
          </cell>
        </row>
      </sheetData>
      <sheetData sheetId="1609"/>
      <sheetData sheetId="1610"/>
      <sheetData sheetId="1611"/>
      <sheetData sheetId="1612"/>
      <sheetData sheetId="1613"/>
      <sheetData sheetId="1614"/>
      <sheetData sheetId="1615">
        <row r="19">
          <cell r="B19" t="str">
            <v>Klaus Döltl</v>
          </cell>
        </row>
      </sheetData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>
        <row r="19">
          <cell r="B19" t="str">
            <v>Alquiler depot</v>
          </cell>
        </row>
      </sheetData>
      <sheetData sheetId="1628"/>
      <sheetData sheetId="1629">
        <row r="19">
          <cell r="B19" t="str">
            <v>Alquiler depot</v>
          </cell>
        </row>
      </sheetData>
      <sheetData sheetId="1630"/>
      <sheetData sheetId="1631"/>
      <sheetData sheetId="1632">
        <row r="19">
          <cell r="B19" t="str">
            <v>02.厚板</v>
          </cell>
        </row>
      </sheetData>
      <sheetData sheetId="1633">
        <row r="19">
          <cell r="B19" t="str">
            <v>02.厚板</v>
          </cell>
        </row>
      </sheetData>
      <sheetData sheetId="1634">
        <row r="19">
          <cell r="B19" t="str">
            <v>Klaus Döltl</v>
          </cell>
        </row>
      </sheetData>
      <sheetData sheetId="1635">
        <row r="19">
          <cell r="B19" t="str">
            <v>Klaus Döltl</v>
          </cell>
        </row>
      </sheetData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>
        <row r="19">
          <cell r="B19" t="str">
            <v>Alquiler depot</v>
          </cell>
        </row>
      </sheetData>
      <sheetData sheetId="1645"/>
      <sheetData sheetId="1646">
        <row r="19">
          <cell r="B19" t="str">
            <v>Alquiler depot</v>
          </cell>
        </row>
      </sheetData>
      <sheetData sheetId="1647"/>
      <sheetData sheetId="1648">
        <row r="19">
          <cell r="B19" t="str">
            <v>Alquiler depot</v>
          </cell>
        </row>
      </sheetData>
      <sheetData sheetId="1649"/>
      <sheetData sheetId="1650"/>
      <sheetData sheetId="1651"/>
      <sheetData sheetId="1652">
        <row r="19">
          <cell r="B19" t="str">
            <v>Klaus Döltl</v>
          </cell>
        </row>
      </sheetData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>
        <row r="19">
          <cell r="B19" t="str">
            <v>02.厚板</v>
          </cell>
        </row>
      </sheetData>
      <sheetData sheetId="1664">
        <row r="19">
          <cell r="B19" t="str">
            <v>Klaus Döltl</v>
          </cell>
        </row>
      </sheetData>
      <sheetData sheetId="1665">
        <row r="19">
          <cell r="B19" t="str">
            <v>Alquiler depot</v>
          </cell>
        </row>
      </sheetData>
      <sheetData sheetId="1666"/>
      <sheetData sheetId="1667"/>
      <sheetData sheetId="1668"/>
      <sheetData sheetId="1669"/>
      <sheetData sheetId="1670"/>
      <sheetData sheetId="1671"/>
      <sheetData sheetId="1672"/>
      <sheetData sheetId="1673">
        <row r="19">
          <cell r="B19" t="str">
            <v>Klaus Döltl</v>
          </cell>
        </row>
      </sheetData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>
        <row r="19">
          <cell r="B19" t="str">
            <v>02.厚板</v>
          </cell>
        </row>
      </sheetData>
      <sheetData sheetId="1685">
        <row r="19">
          <cell r="B19" t="str">
            <v>Klaus Döltl</v>
          </cell>
        </row>
      </sheetData>
      <sheetData sheetId="1686">
        <row r="19">
          <cell r="B19" t="str">
            <v>Alquiler depot</v>
          </cell>
        </row>
      </sheetData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>
        <row r="19">
          <cell r="B19">
            <v>0</v>
          </cell>
        </row>
      </sheetData>
      <sheetData sheetId="1696">
        <row r="19">
          <cell r="B19" t="str">
            <v>Alquiler depot</v>
          </cell>
        </row>
      </sheetData>
      <sheetData sheetId="1697">
        <row r="19">
          <cell r="B19" t="str">
            <v>Alquiler depot</v>
          </cell>
        </row>
      </sheetData>
      <sheetData sheetId="1698">
        <row r="19">
          <cell r="B19" t="str">
            <v>Alquiler depot</v>
          </cell>
        </row>
      </sheetData>
      <sheetData sheetId="1699">
        <row r="19">
          <cell r="B19" t="str">
            <v>Alquiler depot</v>
          </cell>
        </row>
      </sheetData>
      <sheetData sheetId="1700"/>
      <sheetData sheetId="1701"/>
      <sheetData sheetId="1702"/>
      <sheetData sheetId="1703"/>
      <sheetData sheetId="1704"/>
      <sheetData sheetId="1705"/>
      <sheetData sheetId="1706">
        <row r="19">
          <cell r="B19" t="str">
            <v>Alquiler depot</v>
          </cell>
        </row>
      </sheetData>
      <sheetData sheetId="1707"/>
      <sheetData sheetId="1708">
        <row r="19">
          <cell r="B19" t="str">
            <v>Alquiler depot</v>
          </cell>
        </row>
      </sheetData>
      <sheetData sheetId="1709"/>
      <sheetData sheetId="1710"/>
      <sheetData sheetId="1711"/>
      <sheetData sheetId="1712"/>
      <sheetData sheetId="1713"/>
      <sheetData sheetId="1714">
        <row r="19">
          <cell r="B19" t="str">
            <v>02.厚板</v>
          </cell>
        </row>
      </sheetData>
      <sheetData sheetId="1715">
        <row r="19">
          <cell r="B19" t="str">
            <v>Klaus Döltl</v>
          </cell>
        </row>
      </sheetData>
      <sheetData sheetId="1716">
        <row r="19">
          <cell r="B19" t="str">
            <v>Klaus Döltl</v>
          </cell>
        </row>
      </sheetData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>
        <row r="19">
          <cell r="B19" t="str">
            <v>Alquiler depot</v>
          </cell>
        </row>
      </sheetData>
      <sheetData sheetId="1727">
        <row r="19">
          <cell r="B19" t="str">
            <v>Alquiler depot</v>
          </cell>
        </row>
      </sheetData>
      <sheetData sheetId="1728">
        <row r="19">
          <cell r="B19" t="str">
            <v>Alquiler depot</v>
          </cell>
        </row>
      </sheetData>
      <sheetData sheetId="1729">
        <row r="19">
          <cell r="B19" t="str">
            <v>Alquiler depot</v>
          </cell>
        </row>
      </sheetData>
      <sheetData sheetId="1730">
        <row r="19">
          <cell r="B19" t="str">
            <v>Alquiler depot</v>
          </cell>
        </row>
      </sheetData>
      <sheetData sheetId="1731"/>
      <sheetData sheetId="1732"/>
      <sheetData sheetId="1733"/>
      <sheetData sheetId="1734">
        <row r="19">
          <cell r="B19" t="str">
            <v>Klaus Döltl</v>
          </cell>
        </row>
      </sheetData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>
        <row r="19">
          <cell r="B19" t="str">
            <v>02.厚板</v>
          </cell>
        </row>
      </sheetData>
      <sheetData sheetId="1746">
        <row r="19">
          <cell r="B19" t="str">
            <v>Klaus Döltl</v>
          </cell>
        </row>
      </sheetData>
      <sheetData sheetId="1747">
        <row r="19">
          <cell r="B19" t="str">
            <v>Alquiler depot</v>
          </cell>
        </row>
      </sheetData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>
        <row r="19">
          <cell r="B19">
            <v>0</v>
          </cell>
        </row>
      </sheetData>
      <sheetData sheetId="1757">
        <row r="19">
          <cell r="B19" t="str">
            <v>Alquiler depot</v>
          </cell>
        </row>
      </sheetData>
      <sheetData sheetId="1758"/>
      <sheetData sheetId="1759">
        <row r="19">
          <cell r="B19" t="str">
            <v>Alquiler depot</v>
          </cell>
        </row>
      </sheetData>
      <sheetData sheetId="1760"/>
      <sheetData sheetId="1761"/>
      <sheetData sheetId="1762"/>
      <sheetData sheetId="1763"/>
      <sheetData sheetId="1764">
        <row r="19">
          <cell r="B19" t="str">
            <v>02.厚板</v>
          </cell>
        </row>
      </sheetData>
      <sheetData sheetId="1765">
        <row r="19">
          <cell r="B19" t="str">
            <v>02.厚板</v>
          </cell>
        </row>
      </sheetData>
      <sheetData sheetId="1766">
        <row r="19">
          <cell r="B19" t="str">
            <v>02.厚板</v>
          </cell>
        </row>
      </sheetData>
      <sheetData sheetId="1767">
        <row r="19">
          <cell r="B19" t="str">
            <v>Klaus Döltl</v>
          </cell>
        </row>
      </sheetData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>
        <row r="19">
          <cell r="B19" t="str">
            <v>Klaus Döltl</v>
          </cell>
        </row>
      </sheetData>
      <sheetData sheetId="1777"/>
      <sheetData sheetId="1778">
        <row r="19">
          <cell r="B19" t="str">
            <v>Alquiler depot</v>
          </cell>
        </row>
      </sheetData>
      <sheetData sheetId="1779"/>
      <sheetData sheetId="1780">
        <row r="19">
          <cell r="B19" t="str">
            <v>Alquiler depot</v>
          </cell>
        </row>
      </sheetData>
      <sheetData sheetId="1781"/>
      <sheetData sheetId="1782"/>
      <sheetData sheetId="1783"/>
      <sheetData sheetId="1784"/>
      <sheetData sheetId="1785"/>
      <sheetData sheetId="1786"/>
      <sheetData sheetId="1787">
        <row r="19">
          <cell r="B19" t="str">
            <v>Alquiler depot</v>
          </cell>
        </row>
      </sheetData>
      <sheetData sheetId="1788"/>
      <sheetData sheetId="1789">
        <row r="19">
          <cell r="B19" t="str">
            <v>Alquiler depot</v>
          </cell>
        </row>
      </sheetData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>
        <row r="19">
          <cell r="B19" t="str">
            <v>02.厚板</v>
          </cell>
        </row>
      </sheetData>
      <sheetData sheetId="1818">
        <row r="19">
          <cell r="B19" t="str">
            <v>Klaus Döltl</v>
          </cell>
        </row>
      </sheetData>
      <sheetData sheetId="1819"/>
      <sheetData sheetId="1820"/>
      <sheetData sheetId="1821"/>
      <sheetData sheetId="1822"/>
      <sheetData sheetId="1823"/>
      <sheetData sheetId="1824"/>
      <sheetData sheetId="1825"/>
      <sheetData sheetId="1826">
        <row r="19">
          <cell r="B19" t="str">
            <v>02.厚板</v>
          </cell>
        </row>
      </sheetData>
      <sheetData sheetId="1827">
        <row r="19">
          <cell r="B19" t="str">
            <v>Klaus Döltl</v>
          </cell>
        </row>
      </sheetData>
      <sheetData sheetId="1828"/>
      <sheetData sheetId="1829"/>
      <sheetData sheetId="1830">
        <row r="19">
          <cell r="B19" t="str">
            <v>Alquiler depot</v>
          </cell>
        </row>
      </sheetData>
      <sheetData sheetId="1831"/>
      <sheetData sheetId="1832">
        <row r="19">
          <cell r="B19" t="str">
            <v>Alquiler depot</v>
          </cell>
        </row>
      </sheetData>
      <sheetData sheetId="1833"/>
      <sheetData sheetId="1834"/>
      <sheetData sheetId="1835"/>
      <sheetData sheetId="1836"/>
      <sheetData sheetId="1837"/>
      <sheetData sheetId="1838">
        <row r="19">
          <cell r="B19" t="str">
            <v>Alquiler depot</v>
          </cell>
        </row>
      </sheetData>
      <sheetData sheetId="1839"/>
      <sheetData sheetId="1840">
        <row r="19">
          <cell r="B19" t="str">
            <v>Alquiler depot</v>
          </cell>
        </row>
      </sheetData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>
        <row r="19">
          <cell r="B19">
            <v>0</v>
          </cell>
        </row>
      </sheetData>
      <sheetData sheetId="1868">
        <row r="19">
          <cell r="B19" t="str">
            <v>Alquiler depot</v>
          </cell>
        </row>
      </sheetData>
      <sheetData sheetId="1869"/>
      <sheetData sheetId="1870">
        <row r="19">
          <cell r="B19" t="str">
            <v>Alquiler depot</v>
          </cell>
        </row>
      </sheetData>
      <sheetData sheetId="1871"/>
      <sheetData sheetId="1872"/>
      <sheetData sheetId="1873"/>
      <sheetData sheetId="1874"/>
      <sheetData sheetId="1875">
        <row r="19">
          <cell r="B19" t="str">
            <v>02.厚板</v>
          </cell>
        </row>
      </sheetData>
      <sheetData sheetId="1876">
        <row r="19">
          <cell r="B19" t="str">
            <v>02.厚板</v>
          </cell>
        </row>
      </sheetData>
      <sheetData sheetId="1877">
        <row r="19">
          <cell r="B19" t="str">
            <v>02.厚板</v>
          </cell>
        </row>
      </sheetData>
      <sheetData sheetId="1878">
        <row r="19">
          <cell r="B19" t="str">
            <v>Klaus Döltl</v>
          </cell>
        </row>
      </sheetData>
      <sheetData sheetId="1879"/>
      <sheetData sheetId="1880"/>
      <sheetData sheetId="1881">
        <row r="19">
          <cell r="B19" t="str">
            <v>Alquiler depot</v>
          </cell>
        </row>
      </sheetData>
      <sheetData sheetId="1882"/>
      <sheetData sheetId="1883">
        <row r="19">
          <cell r="B19" t="str">
            <v>Alquiler depot</v>
          </cell>
        </row>
      </sheetData>
      <sheetData sheetId="1884"/>
      <sheetData sheetId="1885"/>
      <sheetData sheetId="1886"/>
      <sheetData sheetId="1887">
        <row r="19">
          <cell r="B19" t="str">
            <v>Alquiler depot</v>
          </cell>
        </row>
      </sheetData>
      <sheetData sheetId="1888"/>
      <sheetData sheetId="1889">
        <row r="19">
          <cell r="B19" t="str">
            <v>Alquiler depot</v>
          </cell>
        </row>
      </sheetData>
      <sheetData sheetId="1890"/>
      <sheetData sheetId="1891">
        <row r="19">
          <cell r="B19" t="str">
            <v>Alquiler depot</v>
          </cell>
        </row>
      </sheetData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>
        <row r="19">
          <cell r="B19" t="str">
            <v>Alquiler depot</v>
          </cell>
        </row>
      </sheetData>
      <sheetData sheetId="1920"/>
      <sheetData sheetId="1921">
        <row r="19">
          <cell r="B19" t="str">
            <v>Alquiler depot</v>
          </cell>
        </row>
      </sheetData>
      <sheetData sheetId="1922"/>
      <sheetData sheetId="1923"/>
      <sheetData sheetId="1924"/>
      <sheetData sheetId="1925"/>
      <sheetData sheetId="1926"/>
      <sheetData sheetId="1927"/>
      <sheetData sheetId="1928">
        <row r="19">
          <cell r="B19" t="str">
            <v>Klaus Döltl</v>
          </cell>
        </row>
      </sheetData>
      <sheetData sheetId="1929">
        <row r="19">
          <cell r="B19" t="str">
            <v>Klaus Döltl</v>
          </cell>
        </row>
      </sheetData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>
        <row r="19">
          <cell r="B19" t="str">
            <v>Alquiler depot</v>
          </cell>
        </row>
      </sheetData>
      <sheetData sheetId="1939">
        <row r="19">
          <cell r="B19" t="str">
            <v>Alquiler depot</v>
          </cell>
        </row>
      </sheetData>
      <sheetData sheetId="1940">
        <row r="19">
          <cell r="B19" t="str">
            <v>Alquiler depot</v>
          </cell>
        </row>
      </sheetData>
      <sheetData sheetId="1941">
        <row r="19">
          <cell r="B19" t="str">
            <v>Alquiler depot</v>
          </cell>
        </row>
      </sheetData>
      <sheetData sheetId="1942">
        <row r="19">
          <cell r="B19" t="str">
            <v>Alquiler depot</v>
          </cell>
        </row>
      </sheetData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>
        <row r="19">
          <cell r="B19" t="str">
            <v>Klaus Döltl</v>
          </cell>
        </row>
      </sheetData>
      <sheetData sheetId="2061">
        <row r="19">
          <cell r="B19" t="str">
            <v>Klaus Döltl</v>
          </cell>
        </row>
      </sheetData>
      <sheetData sheetId="2062"/>
      <sheetData sheetId="2063"/>
      <sheetData sheetId="2064"/>
      <sheetData sheetId="2065"/>
      <sheetData sheetId="2066"/>
      <sheetData sheetId="2067"/>
      <sheetData sheetId="2068"/>
      <sheetData sheetId="2069"/>
      <sheetData sheetId="2070"/>
      <sheetData sheetId="2071">
        <row r="19">
          <cell r="B19" t="str">
            <v>Alquiler depot</v>
          </cell>
        </row>
      </sheetData>
      <sheetData sheetId="2072">
        <row r="19">
          <cell r="B19" t="str">
            <v>Alquiler depot</v>
          </cell>
        </row>
      </sheetData>
      <sheetData sheetId="2073">
        <row r="19">
          <cell r="B19" t="str">
            <v>Alquiler depot</v>
          </cell>
        </row>
      </sheetData>
      <sheetData sheetId="2074">
        <row r="19">
          <cell r="B19" t="str">
            <v>Alquiler depot</v>
          </cell>
        </row>
      </sheetData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/>
      <sheetData sheetId="2101"/>
      <sheetData sheetId="2102"/>
      <sheetData sheetId="2103"/>
      <sheetData sheetId="2104"/>
      <sheetData sheetId="2105"/>
      <sheetData sheetId="2106"/>
      <sheetData sheetId="2107"/>
      <sheetData sheetId="2108"/>
      <sheetData sheetId="2109"/>
      <sheetData sheetId="2110"/>
      <sheetData sheetId="2111"/>
      <sheetData sheetId="2112"/>
      <sheetData sheetId="2113"/>
      <sheetData sheetId="2114"/>
      <sheetData sheetId="2115"/>
      <sheetData sheetId="2116"/>
      <sheetData sheetId="2117"/>
      <sheetData sheetId="2118"/>
      <sheetData sheetId="2119"/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>
        <row r="19">
          <cell r="B19" t="str">
            <v>Klaus Döltl</v>
          </cell>
        </row>
      </sheetData>
      <sheetData sheetId="2132">
        <row r="19">
          <cell r="B19" t="str">
            <v>Klaus Döltl</v>
          </cell>
        </row>
      </sheetData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>
        <row r="19">
          <cell r="B19" t="str">
            <v>Alquiler depot</v>
          </cell>
        </row>
      </sheetData>
      <sheetData sheetId="2143">
        <row r="19">
          <cell r="B19" t="str">
            <v>Alquiler depot</v>
          </cell>
        </row>
      </sheetData>
      <sheetData sheetId="2144">
        <row r="19">
          <cell r="B19" t="str">
            <v>Alquiler depot</v>
          </cell>
        </row>
      </sheetData>
      <sheetData sheetId="2145">
        <row r="19">
          <cell r="B19" t="str">
            <v>Alquiler depot</v>
          </cell>
        </row>
      </sheetData>
      <sheetData sheetId="2146"/>
      <sheetData sheetId="2147"/>
      <sheetData sheetId="2148"/>
      <sheetData sheetId="2149"/>
      <sheetData sheetId="2150"/>
      <sheetData sheetId="2151"/>
      <sheetData sheetId="2152"/>
      <sheetData sheetId="2153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/>
      <sheetData sheetId="2176"/>
      <sheetData sheetId="2177"/>
      <sheetData sheetId="2178"/>
      <sheetData sheetId="2179"/>
      <sheetData sheetId="2180"/>
      <sheetData sheetId="2181"/>
      <sheetData sheetId="2182">
        <row r="19">
          <cell r="B19" t="str">
            <v>Klaus Döltl</v>
          </cell>
        </row>
      </sheetData>
      <sheetData sheetId="2183">
        <row r="19">
          <cell r="B19" t="str">
            <v>Klaus Döltl</v>
          </cell>
        </row>
      </sheetData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>
        <row r="19">
          <cell r="B19" t="str">
            <v>Alquiler depot</v>
          </cell>
        </row>
      </sheetData>
      <sheetData sheetId="2194">
        <row r="19">
          <cell r="B19" t="str">
            <v>Alquiler depot</v>
          </cell>
        </row>
      </sheetData>
      <sheetData sheetId="2195">
        <row r="19">
          <cell r="B19" t="str">
            <v>Alquiler depot</v>
          </cell>
        </row>
      </sheetData>
      <sheetData sheetId="2196">
        <row r="19">
          <cell r="B19" t="str">
            <v>Alquiler depot</v>
          </cell>
        </row>
      </sheetData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>
        <row r="19">
          <cell r="B19" t="str">
            <v>Klaus Döltl</v>
          </cell>
        </row>
      </sheetData>
      <sheetData sheetId="2294">
        <row r="19">
          <cell r="B19" t="str">
            <v>Klaus Döltl</v>
          </cell>
        </row>
      </sheetData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>
        <row r="19">
          <cell r="B19" t="str">
            <v>Alquiler depot</v>
          </cell>
        </row>
      </sheetData>
      <sheetData sheetId="2305">
        <row r="19">
          <cell r="B19" t="str">
            <v>Alquiler depot</v>
          </cell>
        </row>
      </sheetData>
      <sheetData sheetId="2306">
        <row r="19">
          <cell r="B19" t="str">
            <v>Alquiler depot</v>
          </cell>
        </row>
      </sheetData>
      <sheetData sheetId="2307">
        <row r="19">
          <cell r="B19" t="str">
            <v>Alquiler depot</v>
          </cell>
        </row>
      </sheetData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/>
      <sheetData sheetId="2350"/>
      <sheetData sheetId="2351"/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/>
      <sheetData sheetId="2365"/>
      <sheetData sheetId="2366"/>
      <sheetData sheetId="2367"/>
      <sheetData sheetId="2368"/>
      <sheetData sheetId="2369"/>
      <sheetData sheetId="2370"/>
      <sheetData sheetId="2371"/>
      <sheetData sheetId="2372"/>
      <sheetData sheetId="2373"/>
      <sheetData sheetId="2374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>
        <row r="19">
          <cell r="B19" t="str">
            <v>Klaus Döltl</v>
          </cell>
        </row>
      </sheetData>
      <sheetData sheetId="2385">
        <row r="19">
          <cell r="B19" t="str">
            <v>Klaus Döltl</v>
          </cell>
        </row>
      </sheetData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>
        <row r="19">
          <cell r="B19" t="str">
            <v>Alquiler depot</v>
          </cell>
        </row>
      </sheetData>
      <sheetData sheetId="2396">
        <row r="19">
          <cell r="B19" t="str">
            <v>Alquiler depot</v>
          </cell>
        </row>
      </sheetData>
      <sheetData sheetId="2397">
        <row r="19">
          <cell r="B19" t="str">
            <v>Alquiler depot</v>
          </cell>
        </row>
      </sheetData>
      <sheetData sheetId="2398">
        <row r="19">
          <cell r="B19" t="str">
            <v>Alquiler depot</v>
          </cell>
        </row>
      </sheetData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>
        <row r="19">
          <cell r="B19" t="str">
            <v>Klaus Döltl</v>
          </cell>
        </row>
      </sheetData>
      <sheetData sheetId="2436">
        <row r="19">
          <cell r="B19" t="str">
            <v>Klaus Döltl</v>
          </cell>
        </row>
      </sheetData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>
        <row r="19">
          <cell r="B19" t="str">
            <v>Alquiler depot</v>
          </cell>
        </row>
      </sheetData>
      <sheetData sheetId="2447">
        <row r="19">
          <cell r="B19" t="str">
            <v>Alquiler depot</v>
          </cell>
        </row>
      </sheetData>
      <sheetData sheetId="2448">
        <row r="19">
          <cell r="B19" t="str">
            <v>Alquiler depot</v>
          </cell>
        </row>
      </sheetData>
      <sheetData sheetId="2449">
        <row r="19">
          <cell r="B19" t="str">
            <v>Alquiler depot</v>
          </cell>
        </row>
      </sheetData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>
        <row r="19">
          <cell r="B19" t="str">
            <v>Klaus Döltl</v>
          </cell>
        </row>
      </sheetData>
      <sheetData sheetId="2507">
        <row r="19">
          <cell r="B19" t="str">
            <v>Klaus Döltl</v>
          </cell>
        </row>
      </sheetData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>
        <row r="19">
          <cell r="B19" t="str">
            <v>Alquiler depot</v>
          </cell>
        </row>
      </sheetData>
      <sheetData sheetId="2518">
        <row r="19">
          <cell r="B19" t="str">
            <v>Alquiler depot</v>
          </cell>
        </row>
      </sheetData>
      <sheetData sheetId="2519">
        <row r="19">
          <cell r="B19" t="str">
            <v>Alquiler depot</v>
          </cell>
        </row>
      </sheetData>
      <sheetData sheetId="2520">
        <row r="19">
          <cell r="B19" t="str">
            <v>Alquiler depot</v>
          </cell>
        </row>
      </sheetData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>
        <row r="19">
          <cell r="B19" t="str">
            <v>02.厚板</v>
          </cell>
        </row>
      </sheetData>
      <sheetData sheetId="2577">
        <row r="19">
          <cell r="B19" t="str">
            <v>Klaus Döltl</v>
          </cell>
        </row>
      </sheetData>
      <sheetData sheetId="2578">
        <row r="19">
          <cell r="B19" t="str">
            <v>Klaus Döltl</v>
          </cell>
        </row>
      </sheetData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>
        <row r="19">
          <cell r="B19" t="str">
            <v>Alquiler depot</v>
          </cell>
        </row>
      </sheetData>
      <sheetData sheetId="2589">
        <row r="19">
          <cell r="B19" t="str">
            <v>Alquiler depot</v>
          </cell>
        </row>
      </sheetData>
      <sheetData sheetId="2590">
        <row r="19">
          <cell r="B19" t="str">
            <v>Alquiler depot</v>
          </cell>
        </row>
      </sheetData>
      <sheetData sheetId="2591">
        <row r="19">
          <cell r="B19" t="str">
            <v>Alquiler depot</v>
          </cell>
        </row>
      </sheetData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>
        <row r="19">
          <cell r="B19" t="str">
            <v>Klaus Döltl</v>
          </cell>
        </row>
      </sheetData>
      <sheetData sheetId="2650">
        <row r="19">
          <cell r="B19" t="str">
            <v>Klaus Döltl</v>
          </cell>
        </row>
      </sheetData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>
        <row r="19">
          <cell r="B19" t="str">
            <v>Alquiler depot</v>
          </cell>
        </row>
      </sheetData>
      <sheetData sheetId="2661">
        <row r="19">
          <cell r="B19" t="str">
            <v>Alquiler depot</v>
          </cell>
        </row>
      </sheetData>
      <sheetData sheetId="2662">
        <row r="19">
          <cell r="B19" t="str">
            <v>Alquiler depot</v>
          </cell>
        </row>
      </sheetData>
      <sheetData sheetId="2663">
        <row r="19">
          <cell r="B19" t="str">
            <v>Alquiler depot</v>
          </cell>
        </row>
      </sheetData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/>
      <sheetData sheetId="2681"/>
      <sheetData sheetId="2682"/>
      <sheetData sheetId="2683"/>
      <sheetData sheetId="2684"/>
      <sheetData sheetId="2685"/>
      <sheetData sheetId="2686"/>
      <sheetData sheetId="2687"/>
      <sheetData sheetId="2688"/>
      <sheetData sheetId="2689"/>
      <sheetData sheetId="2690"/>
      <sheetData sheetId="2691"/>
      <sheetData sheetId="2692"/>
      <sheetData sheetId="2693"/>
      <sheetData sheetId="2694"/>
      <sheetData sheetId="2695"/>
      <sheetData sheetId="2696"/>
      <sheetData sheetId="2697"/>
      <sheetData sheetId="2698"/>
      <sheetData sheetId="2699"/>
      <sheetData sheetId="2700">
        <row r="19">
          <cell r="B19" t="str">
            <v>Klaus Döltl</v>
          </cell>
        </row>
      </sheetData>
      <sheetData sheetId="2701">
        <row r="19">
          <cell r="B19" t="str">
            <v>Klaus Döltl</v>
          </cell>
        </row>
      </sheetData>
      <sheetData sheetId="2702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>
        <row r="19">
          <cell r="B19" t="str">
            <v>Alquiler depot</v>
          </cell>
        </row>
      </sheetData>
      <sheetData sheetId="2712">
        <row r="19">
          <cell r="B19" t="str">
            <v>Alquiler depot</v>
          </cell>
        </row>
      </sheetData>
      <sheetData sheetId="2713">
        <row r="19">
          <cell r="B19" t="str">
            <v>Alquiler depot</v>
          </cell>
        </row>
      </sheetData>
      <sheetData sheetId="2714">
        <row r="19">
          <cell r="B19" t="str">
            <v>Alquiler depot</v>
          </cell>
        </row>
      </sheetData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/>
      <sheetData sheetId="2724"/>
      <sheetData sheetId="2725"/>
      <sheetData sheetId="2726"/>
      <sheetData sheetId="2727"/>
      <sheetData sheetId="2728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/>
      <sheetData sheetId="2741"/>
      <sheetData sheetId="2742"/>
      <sheetData sheetId="2743"/>
      <sheetData sheetId="2744"/>
      <sheetData sheetId="2745"/>
      <sheetData sheetId="2746"/>
      <sheetData sheetId="2747"/>
      <sheetData sheetId="2748"/>
      <sheetData sheetId="2749"/>
      <sheetData sheetId="2750">
        <row r="19">
          <cell r="B19" t="str">
            <v>02.厚板</v>
          </cell>
        </row>
      </sheetData>
      <sheetData sheetId="2751">
        <row r="19">
          <cell r="B19" t="str">
            <v>Klaus Döltl</v>
          </cell>
        </row>
      </sheetData>
      <sheetData sheetId="2752">
        <row r="19">
          <cell r="B19" t="str">
            <v>Klaus Döltl</v>
          </cell>
        </row>
      </sheetData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/>
      <sheetData sheetId="2762">
        <row r="19">
          <cell r="B19" t="str">
            <v>Alquiler depot</v>
          </cell>
        </row>
      </sheetData>
      <sheetData sheetId="2763">
        <row r="19">
          <cell r="B19" t="str">
            <v>Alquiler depot</v>
          </cell>
        </row>
      </sheetData>
      <sheetData sheetId="2764">
        <row r="19">
          <cell r="B19" t="str">
            <v>Alquiler depot</v>
          </cell>
        </row>
      </sheetData>
      <sheetData sheetId="2765">
        <row r="19">
          <cell r="B19" t="str">
            <v>Alquiler depot</v>
          </cell>
        </row>
      </sheetData>
      <sheetData sheetId="2766"/>
      <sheetData sheetId="2767"/>
      <sheetData sheetId="2768"/>
      <sheetData sheetId="2769"/>
      <sheetData sheetId="2770"/>
      <sheetData sheetId="2771"/>
      <sheetData sheetId="2772"/>
      <sheetData sheetId="2773"/>
      <sheetData sheetId="2774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>
        <row r="19">
          <cell r="B19" t="str">
            <v>02.厚板</v>
          </cell>
        </row>
      </sheetData>
      <sheetData sheetId="2803">
        <row r="19">
          <cell r="B19" t="str">
            <v>Klaus Döltl</v>
          </cell>
        </row>
      </sheetData>
      <sheetData sheetId="2804"/>
      <sheetData sheetId="2805"/>
      <sheetData sheetId="2806"/>
      <sheetData sheetId="2807"/>
      <sheetData sheetId="2808"/>
      <sheetData sheetId="2809"/>
      <sheetData sheetId="2810"/>
      <sheetData sheetId="2811"/>
      <sheetData sheetId="2812"/>
      <sheetData sheetId="2813"/>
      <sheetData sheetId="2814">
        <row r="19">
          <cell r="B19" t="str">
            <v>Alquiler depot</v>
          </cell>
        </row>
      </sheetData>
      <sheetData sheetId="2815"/>
      <sheetData sheetId="2816">
        <row r="19">
          <cell r="B19" t="str">
            <v>Alquiler depot</v>
          </cell>
        </row>
      </sheetData>
      <sheetData sheetId="2817"/>
      <sheetData sheetId="2818"/>
      <sheetData sheetId="2819"/>
      <sheetData sheetId="2820"/>
      <sheetData sheetId="2821"/>
      <sheetData sheetId="2822"/>
      <sheetData sheetId="2823"/>
      <sheetData sheetId="2824"/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>
        <row r="19">
          <cell r="B19">
            <v>0</v>
          </cell>
        </row>
      </sheetData>
      <sheetData sheetId="2846"/>
      <sheetData sheetId="2847"/>
      <sheetData sheetId="2848"/>
      <sheetData sheetId="2849"/>
      <sheetData sheetId="2850"/>
      <sheetData sheetId="2851"/>
      <sheetData sheetId="2852"/>
      <sheetData sheetId="2853">
        <row r="19">
          <cell r="B19" t="str">
            <v>02.厚板</v>
          </cell>
        </row>
      </sheetData>
      <sheetData sheetId="2854">
        <row r="19">
          <cell r="B19" t="str">
            <v>02.厚板</v>
          </cell>
        </row>
      </sheetData>
      <sheetData sheetId="2855">
        <row r="19">
          <cell r="B19" t="str">
            <v>Klaus Döltl</v>
          </cell>
        </row>
      </sheetData>
      <sheetData sheetId="2856"/>
      <sheetData sheetId="2857"/>
      <sheetData sheetId="2858"/>
      <sheetData sheetId="2859"/>
      <sheetData sheetId="2860"/>
      <sheetData sheetId="2861"/>
      <sheetData sheetId="2862"/>
      <sheetData sheetId="2863"/>
      <sheetData sheetId="2864">
        <row r="19">
          <cell r="B19" t="str">
            <v>Alquiler depot</v>
          </cell>
        </row>
      </sheetData>
      <sheetData sheetId="2865"/>
      <sheetData sheetId="2866">
        <row r="19">
          <cell r="B19" t="str">
            <v>Alquiler depot</v>
          </cell>
        </row>
      </sheetData>
      <sheetData sheetId="2867"/>
      <sheetData sheetId="2868">
        <row r="19">
          <cell r="B19" t="str">
            <v>Alquiler depot</v>
          </cell>
        </row>
      </sheetData>
      <sheetData sheetId="2869"/>
      <sheetData sheetId="2870"/>
      <sheetData sheetId="2871"/>
      <sheetData sheetId="2872"/>
      <sheetData sheetId="2873"/>
      <sheetData sheetId="2874"/>
      <sheetData sheetId="2875"/>
      <sheetData sheetId="2876"/>
      <sheetData sheetId="2877"/>
      <sheetData sheetId="2878"/>
      <sheetData sheetId="2879"/>
      <sheetData sheetId="2880"/>
      <sheetData sheetId="2881"/>
      <sheetData sheetId="2882"/>
      <sheetData sheetId="2883"/>
      <sheetData sheetId="2884"/>
      <sheetData sheetId="2885"/>
      <sheetData sheetId="2886"/>
      <sheetData sheetId="2887"/>
      <sheetData sheetId="2888"/>
      <sheetData sheetId="2889"/>
      <sheetData sheetId="2890"/>
      <sheetData sheetId="2891"/>
      <sheetData sheetId="2892"/>
      <sheetData sheetId="2893"/>
      <sheetData sheetId="2894"/>
      <sheetData sheetId="2895"/>
      <sheetData sheetId="2896"/>
      <sheetData sheetId="2897">
        <row r="19">
          <cell r="B19">
            <v>0</v>
          </cell>
        </row>
      </sheetData>
      <sheetData sheetId="2898"/>
      <sheetData sheetId="2899"/>
      <sheetData sheetId="2900"/>
      <sheetData sheetId="2901"/>
      <sheetData sheetId="2902"/>
      <sheetData sheetId="2903"/>
      <sheetData sheetId="2904"/>
      <sheetData sheetId="2905">
        <row r="19">
          <cell r="B19" t="str">
            <v>02.厚板</v>
          </cell>
        </row>
      </sheetData>
      <sheetData sheetId="2906">
        <row r="19">
          <cell r="B19" t="str">
            <v>02.厚板</v>
          </cell>
        </row>
      </sheetData>
      <sheetData sheetId="2907">
        <row r="19">
          <cell r="B19" t="str">
            <v>Klaus Döltl</v>
          </cell>
        </row>
      </sheetData>
      <sheetData sheetId="2908"/>
      <sheetData sheetId="2909"/>
      <sheetData sheetId="2910"/>
      <sheetData sheetId="2911"/>
      <sheetData sheetId="2912"/>
      <sheetData sheetId="2913"/>
      <sheetData sheetId="2914"/>
      <sheetData sheetId="2915"/>
      <sheetData sheetId="2916">
        <row r="19">
          <cell r="B19" t="str">
            <v>Alquiler depot</v>
          </cell>
        </row>
      </sheetData>
      <sheetData sheetId="2917"/>
      <sheetData sheetId="2918">
        <row r="19">
          <cell r="B19" t="str">
            <v>Alquiler depot</v>
          </cell>
        </row>
      </sheetData>
      <sheetData sheetId="2919"/>
      <sheetData sheetId="2920">
        <row r="19">
          <cell r="B19" t="str">
            <v>Alquiler depot</v>
          </cell>
        </row>
      </sheetData>
      <sheetData sheetId="2921"/>
      <sheetData sheetId="2922"/>
      <sheetData sheetId="2923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/>
      <sheetData sheetId="2936"/>
      <sheetData sheetId="2937"/>
      <sheetData sheetId="2938"/>
      <sheetData sheetId="2939"/>
      <sheetData sheetId="2940"/>
      <sheetData sheetId="2941"/>
      <sheetData sheetId="2942"/>
      <sheetData sheetId="2943"/>
      <sheetData sheetId="2944"/>
      <sheetData sheetId="2945"/>
      <sheetData sheetId="2946"/>
      <sheetData sheetId="2947"/>
      <sheetData sheetId="2948">
        <row r="19">
          <cell r="B19">
            <v>0</v>
          </cell>
        </row>
      </sheetData>
      <sheetData sheetId="2949"/>
      <sheetData sheetId="2950"/>
      <sheetData sheetId="2951"/>
      <sheetData sheetId="2952"/>
      <sheetData sheetId="2953"/>
      <sheetData sheetId="2954"/>
      <sheetData sheetId="2955"/>
      <sheetData sheetId="2956">
        <row r="19">
          <cell r="B19" t="str">
            <v>02.厚板</v>
          </cell>
        </row>
      </sheetData>
      <sheetData sheetId="2957">
        <row r="19">
          <cell r="B19" t="str">
            <v>02.厚板</v>
          </cell>
        </row>
      </sheetData>
      <sheetData sheetId="2958">
        <row r="19">
          <cell r="B19" t="str">
            <v>Klaus Döltl</v>
          </cell>
        </row>
      </sheetData>
      <sheetData sheetId="2959"/>
      <sheetData sheetId="2960"/>
      <sheetData sheetId="2961"/>
      <sheetData sheetId="2962"/>
      <sheetData sheetId="2963"/>
      <sheetData sheetId="2964"/>
      <sheetData sheetId="2965"/>
      <sheetData sheetId="2966"/>
      <sheetData sheetId="2967">
        <row r="19">
          <cell r="B19" t="str">
            <v>Alquiler depot</v>
          </cell>
        </row>
      </sheetData>
      <sheetData sheetId="2968"/>
      <sheetData sheetId="2969">
        <row r="19">
          <cell r="B19" t="str">
            <v>Alquiler depot</v>
          </cell>
        </row>
      </sheetData>
      <sheetData sheetId="2970"/>
      <sheetData sheetId="2971">
        <row r="19">
          <cell r="B19" t="str">
            <v>Alquiler depot</v>
          </cell>
        </row>
      </sheetData>
      <sheetData sheetId="2972"/>
      <sheetData sheetId="2973"/>
      <sheetData sheetId="2974"/>
      <sheetData sheetId="2975"/>
      <sheetData sheetId="2976"/>
      <sheetData sheetId="2977"/>
      <sheetData sheetId="2978"/>
      <sheetData sheetId="2979"/>
      <sheetData sheetId="2980"/>
      <sheetData sheetId="2981"/>
      <sheetData sheetId="2982"/>
      <sheetData sheetId="2983"/>
      <sheetData sheetId="2984"/>
      <sheetData sheetId="2985"/>
      <sheetData sheetId="2986"/>
      <sheetData sheetId="2987"/>
      <sheetData sheetId="2988"/>
      <sheetData sheetId="2989"/>
      <sheetData sheetId="2990"/>
      <sheetData sheetId="2991"/>
      <sheetData sheetId="2992"/>
      <sheetData sheetId="2993"/>
      <sheetData sheetId="2994"/>
      <sheetData sheetId="2995"/>
      <sheetData sheetId="2996"/>
      <sheetData sheetId="2997"/>
      <sheetData sheetId="2998">
        <row r="19">
          <cell r="B19">
            <v>0</v>
          </cell>
        </row>
      </sheetData>
      <sheetData sheetId="2999">
        <row r="19">
          <cell r="B19">
            <v>0</v>
          </cell>
        </row>
      </sheetData>
      <sheetData sheetId="3000"/>
      <sheetData sheetId="3001"/>
      <sheetData sheetId="3002"/>
      <sheetData sheetId="3003"/>
      <sheetData sheetId="3004"/>
      <sheetData sheetId="3005"/>
      <sheetData sheetId="3006">
        <row r="19">
          <cell r="B19" t="str">
            <v>02.厚板</v>
          </cell>
        </row>
      </sheetData>
      <sheetData sheetId="3007">
        <row r="19">
          <cell r="B19" t="str">
            <v>02.厚板</v>
          </cell>
        </row>
      </sheetData>
      <sheetData sheetId="3008">
        <row r="19">
          <cell r="B19" t="str">
            <v>02.厚板</v>
          </cell>
        </row>
      </sheetData>
      <sheetData sheetId="3009">
        <row r="19">
          <cell r="B19" t="str">
            <v>Klaus Döltl</v>
          </cell>
        </row>
      </sheetData>
      <sheetData sheetId="3010"/>
      <sheetData sheetId="3011"/>
      <sheetData sheetId="3012"/>
      <sheetData sheetId="3013"/>
      <sheetData sheetId="3014"/>
      <sheetData sheetId="3015"/>
      <sheetData sheetId="3016"/>
      <sheetData sheetId="3017">
        <row r="19">
          <cell r="B19" t="str">
            <v>Alquiler depot</v>
          </cell>
        </row>
      </sheetData>
      <sheetData sheetId="3018">
        <row r="19">
          <cell r="B19" t="str">
            <v>Alquiler depot</v>
          </cell>
        </row>
      </sheetData>
      <sheetData sheetId="3019">
        <row r="19">
          <cell r="B19" t="str">
            <v>Alquiler depot</v>
          </cell>
        </row>
      </sheetData>
      <sheetData sheetId="3020">
        <row r="19">
          <cell r="B19" t="str">
            <v>Alquiler depot</v>
          </cell>
        </row>
      </sheetData>
      <sheetData sheetId="3021">
        <row r="19">
          <cell r="B19" t="str">
            <v>Alquiler depot</v>
          </cell>
        </row>
      </sheetData>
      <sheetData sheetId="3022">
        <row r="19">
          <cell r="B19" t="str">
            <v>Alquiler depot</v>
          </cell>
        </row>
      </sheetData>
      <sheetData sheetId="3023"/>
      <sheetData sheetId="3024"/>
      <sheetData sheetId="3025"/>
      <sheetData sheetId="3026" refreshError="1"/>
      <sheetData sheetId="3027" refreshError="1"/>
      <sheetData sheetId="3028"/>
      <sheetData sheetId="3029"/>
      <sheetData sheetId="3030"/>
      <sheetData sheetId="3031"/>
      <sheetData sheetId="3032"/>
      <sheetData sheetId="3033"/>
      <sheetData sheetId="3034"/>
      <sheetData sheetId="3035"/>
      <sheetData sheetId="3036"/>
      <sheetData sheetId="3037"/>
      <sheetData sheetId="3038"/>
      <sheetData sheetId="3039"/>
      <sheetData sheetId="3040"/>
      <sheetData sheetId="3041"/>
      <sheetData sheetId="3042"/>
      <sheetData sheetId="3043"/>
      <sheetData sheetId="3044"/>
      <sheetData sheetId="3045"/>
      <sheetData sheetId="3046"/>
      <sheetData sheetId="3047"/>
      <sheetData sheetId="3048"/>
      <sheetData sheetId="3049"/>
      <sheetData sheetId="3050"/>
      <sheetData sheetId="3051">
        <row r="19">
          <cell r="B19">
            <v>0</v>
          </cell>
        </row>
      </sheetData>
      <sheetData sheetId="3052"/>
      <sheetData sheetId="3053">
        <row r="19">
          <cell r="B19">
            <v>0</v>
          </cell>
        </row>
      </sheetData>
      <sheetData sheetId="3054"/>
      <sheetData sheetId="3055"/>
      <sheetData sheetId="3056"/>
      <sheetData sheetId="3057"/>
      <sheetData sheetId="3058"/>
      <sheetData sheetId="3059"/>
      <sheetData sheetId="3060"/>
      <sheetData sheetId="3061">
        <row r="19">
          <cell r="B19" t="str">
            <v>02.厚板</v>
          </cell>
        </row>
      </sheetData>
      <sheetData sheetId="3062">
        <row r="19">
          <cell r="B19" t="str">
            <v>02.厚板</v>
          </cell>
        </row>
      </sheetData>
      <sheetData sheetId="3063">
        <row r="19">
          <cell r="B19" t="str">
            <v>Klaus Döltl</v>
          </cell>
        </row>
      </sheetData>
      <sheetData sheetId="3064"/>
      <sheetData sheetId="3065"/>
      <sheetData sheetId="3066"/>
      <sheetData sheetId="3067"/>
      <sheetData sheetId="3068"/>
      <sheetData sheetId="3069"/>
      <sheetData sheetId="3070"/>
      <sheetData sheetId="3071">
        <row r="19">
          <cell r="B19" t="str">
            <v>Alquiler depot</v>
          </cell>
        </row>
      </sheetData>
      <sheetData sheetId="3072"/>
      <sheetData sheetId="3073">
        <row r="19">
          <cell r="B19" t="str">
            <v>Alquiler depot</v>
          </cell>
        </row>
      </sheetData>
      <sheetData sheetId="3074"/>
      <sheetData sheetId="3075">
        <row r="19">
          <cell r="B19" t="str">
            <v>Alquiler depot</v>
          </cell>
        </row>
      </sheetData>
      <sheetData sheetId="3076"/>
      <sheetData sheetId="3077">
        <row r="19">
          <cell r="B19" t="str">
            <v>Alquiler depot</v>
          </cell>
        </row>
      </sheetData>
      <sheetData sheetId="3078"/>
      <sheetData sheetId="3079"/>
      <sheetData sheetId="3080"/>
      <sheetData sheetId="3081"/>
      <sheetData sheetId="3082"/>
      <sheetData sheetId="3083"/>
      <sheetData sheetId="3084"/>
      <sheetData sheetId="3085"/>
      <sheetData sheetId="3086"/>
      <sheetData sheetId="3087"/>
      <sheetData sheetId="3088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>
        <row r="19">
          <cell r="B19">
            <v>0</v>
          </cell>
        </row>
      </sheetData>
      <sheetData sheetId="3104"/>
      <sheetData sheetId="3105">
        <row r="19">
          <cell r="B19">
            <v>0</v>
          </cell>
        </row>
      </sheetData>
      <sheetData sheetId="3106"/>
      <sheetData sheetId="3107"/>
      <sheetData sheetId="3108"/>
      <sheetData sheetId="3109"/>
      <sheetData sheetId="3110"/>
      <sheetData sheetId="3111"/>
      <sheetData sheetId="3112"/>
      <sheetData sheetId="3113">
        <row r="19">
          <cell r="B19" t="str">
            <v>02.厚板</v>
          </cell>
        </row>
      </sheetData>
      <sheetData sheetId="3114">
        <row r="19">
          <cell r="B19" t="str">
            <v>02.厚板</v>
          </cell>
        </row>
      </sheetData>
      <sheetData sheetId="3115">
        <row r="19">
          <cell r="B19" t="str">
            <v>Klaus Döltl</v>
          </cell>
        </row>
      </sheetData>
      <sheetData sheetId="3116"/>
      <sheetData sheetId="3117"/>
      <sheetData sheetId="3118"/>
      <sheetData sheetId="3119"/>
      <sheetData sheetId="3120"/>
      <sheetData sheetId="3121"/>
      <sheetData sheetId="3122"/>
      <sheetData sheetId="3123">
        <row r="19">
          <cell r="B19" t="str">
            <v>Alquiler depot</v>
          </cell>
        </row>
      </sheetData>
      <sheetData sheetId="3124"/>
      <sheetData sheetId="3125">
        <row r="19">
          <cell r="B19" t="str">
            <v>Alquiler depot</v>
          </cell>
        </row>
      </sheetData>
      <sheetData sheetId="3126"/>
      <sheetData sheetId="3127">
        <row r="19">
          <cell r="B19" t="str">
            <v>Alquiler depot</v>
          </cell>
        </row>
      </sheetData>
      <sheetData sheetId="3128"/>
      <sheetData sheetId="3129">
        <row r="19">
          <cell r="B19" t="str">
            <v>Alquiler depot</v>
          </cell>
        </row>
      </sheetData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/>
      <sheetData sheetId="3151"/>
      <sheetData sheetId="3152"/>
      <sheetData sheetId="3153"/>
      <sheetData sheetId="3154"/>
      <sheetData sheetId="3155"/>
      <sheetData sheetId="3156"/>
      <sheetData sheetId="3157">
        <row r="19">
          <cell r="B19">
            <v>0</v>
          </cell>
        </row>
      </sheetData>
      <sheetData sheetId="3158"/>
      <sheetData sheetId="3159"/>
      <sheetData sheetId="3160"/>
      <sheetData sheetId="3161"/>
      <sheetData sheetId="3162"/>
      <sheetData sheetId="3163"/>
      <sheetData sheetId="3164"/>
      <sheetData sheetId="3165">
        <row r="19">
          <cell r="B19" t="str">
            <v>02.厚板</v>
          </cell>
        </row>
      </sheetData>
      <sheetData sheetId="3166">
        <row r="19">
          <cell r="B19" t="str">
            <v>02.厚板</v>
          </cell>
        </row>
      </sheetData>
      <sheetData sheetId="3167">
        <row r="19">
          <cell r="B19" t="str">
            <v>Klaus Döltl</v>
          </cell>
        </row>
      </sheetData>
      <sheetData sheetId="3168"/>
      <sheetData sheetId="3169"/>
      <sheetData sheetId="3170"/>
      <sheetData sheetId="3171"/>
      <sheetData sheetId="3172"/>
      <sheetData sheetId="3173"/>
      <sheetData sheetId="3174"/>
      <sheetData sheetId="3175"/>
      <sheetData sheetId="3176"/>
      <sheetData sheetId="3177">
        <row r="19">
          <cell r="B19" t="str">
            <v>Alquiler depot</v>
          </cell>
        </row>
      </sheetData>
      <sheetData sheetId="3178"/>
      <sheetData sheetId="3179">
        <row r="19">
          <cell r="B19" t="str">
            <v>Alquiler depot</v>
          </cell>
        </row>
      </sheetData>
      <sheetData sheetId="3180"/>
      <sheetData sheetId="3181">
        <row r="19">
          <cell r="B19" t="str">
            <v>Alquiler depot</v>
          </cell>
        </row>
      </sheetData>
      <sheetData sheetId="3182"/>
      <sheetData sheetId="3183"/>
      <sheetData sheetId="3184"/>
      <sheetData sheetId="3185"/>
      <sheetData sheetId="3186"/>
      <sheetData sheetId="3187"/>
      <sheetData sheetId="3188"/>
      <sheetData sheetId="3189"/>
      <sheetData sheetId="3190"/>
      <sheetData sheetId="3191"/>
      <sheetData sheetId="3192"/>
      <sheetData sheetId="3193"/>
      <sheetData sheetId="3194"/>
      <sheetData sheetId="3195"/>
      <sheetData sheetId="3196"/>
      <sheetData sheetId="3197"/>
      <sheetData sheetId="3198"/>
      <sheetData sheetId="3199"/>
      <sheetData sheetId="3200"/>
      <sheetData sheetId="3201"/>
      <sheetData sheetId="3202"/>
      <sheetData sheetId="3203"/>
      <sheetData sheetId="3204"/>
      <sheetData sheetId="3205"/>
      <sheetData sheetId="3206"/>
      <sheetData sheetId="3207"/>
      <sheetData sheetId="3208"/>
      <sheetData sheetId="3209">
        <row r="19">
          <cell r="B19">
            <v>0</v>
          </cell>
        </row>
      </sheetData>
      <sheetData sheetId="3210"/>
      <sheetData sheetId="3211"/>
      <sheetData sheetId="3212"/>
      <sheetData sheetId="3213"/>
      <sheetData sheetId="3214"/>
      <sheetData sheetId="3215"/>
      <sheetData sheetId="3216"/>
      <sheetData sheetId="3217">
        <row r="19">
          <cell r="B19" t="str">
            <v>02.厚板</v>
          </cell>
        </row>
      </sheetData>
      <sheetData sheetId="3218">
        <row r="19">
          <cell r="B19" t="str">
            <v>02.厚板</v>
          </cell>
        </row>
      </sheetData>
      <sheetData sheetId="3219">
        <row r="19">
          <cell r="B19" t="str">
            <v>Klaus Döltl</v>
          </cell>
        </row>
      </sheetData>
      <sheetData sheetId="3220"/>
      <sheetData sheetId="3221"/>
      <sheetData sheetId="3222"/>
      <sheetData sheetId="3223"/>
      <sheetData sheetId="3224"/>
      <sheetData sheetId="3225"/>
      <sheetData sheetId="3226"/>
      <sheetData sheetId="3227"/>
      <sheetData sheetId="3228"/>
      <sheetData sheetId="3229">
        <row r="19">
          <cell r="B19" t="str">
            <v>Alquiler depot</v>
          </cell>
        </row>
      </sheetData>
      <sheetData sheetId="3230"/>
      <sheetData sheetId="3231">
        <row r="19">
          <cell r="B19" t="str">
            <v>Alquiler depot</v>
          </cell>
        </row>
      </sheetData>
      <sheetData sheetId="3232"/>
      <sheetData sheetId="3233">
        <row r="19">
          <cell r="B19" t="str">
            <v>Alquiler depot</v>
          </cell>
        </row>
      </sheetData>
      <sheetData sheetId="3234"/>
      <sheetData sheetId="3235"/>
      <sheetData sheetId="3236"/>
      <sheetData sheetId="3237"/>
      <sheetData sheetId="3238"/>
      <sheetData sheetId="3239"/>
      <sheetData sheetId="3240"/>
      <sheetData sheetId="3241"/>
      <sheetData sheetId="3242"/>
      <sheetData sheetId="3243"/>
      <sheetData sheetId="3244"/>
      <sheetData sheetId="3245"/>
      <sheetData sheetId="3246"/>
      <sheetData sheetId="3247"/>
      <sheetData sheetId="3248"/>
      <sheetData sheetId="3249"/>
      <sheetData sheetId="3250"/>
      <sheetData sheetId="3251"/>
      <sheetData sheetId="3252"/>
      <sheetData sheetId="3253"/>
      <sheetData sheetId="3254"/>
      <sheetData sheetId="3255"/>
      <sheetData sheetId="3256"/>
      <sheetData sheetId="3257"/>
      <sheetData sheetId="3258"/>
      <sheetData sheetId="3259"/>
      <sheetData sheetId="3260"/>
      <sheetData sheetId="3261">
        <row r="19">
          <cell r="B19">
            <v>0</v>
          </cell>
        </row>
      </sheetData>
      <sheetData sheetId="3262"/>
      <sheetData sheetId="3263"/>
      <sheetData sheetId="3264"/>
      <sheetData sheetId="3265"/>
      <sheetData sheetId="3266"/>
      <sheetData sheetId="3267"/>
      <sheetData sheetId="3268"/>
      <sheetData sheetId="3269">
        <row r="19">
          <cell r="B19" t="str">
            <v>02.厚板</v>
          </cell>
        </row>
      </sheetData>
      <sheetData sheetId="3270">
        <row r="19">
          <cell r="B19" t="str">
            <v>02.厚板</v>
          </cell>
        </row>
      </sheetData>
      <sheetData sheetId="3271">
        <row r="19">
          <cell r="B19" t="str">
            <v>Klaus Döltl</v>
          </cell>
        </row>
      </sheetData>
      <sheetData sheetId="3272"/>
      <sheetData sheetId="3273"/>
      <sheetData sheetId="3274"/>
      <sheetData sheetId="3275"/>
      <sheetData sheetId="3276"/>
      <sheetData sheetId="3277"/>
      <sheetData sheetId="3278"/>
      <sheetData sheetId="3279"/>
      <sheetData sheetId="3280"/>
      <sheetData sheetId="3281">
        <row r="19">
          <cell r="B19" t="str">
            <v>Alquiler depot</v>
          </cell>
        </row>
      </sheetData>
      <sheetData sheetId="3282"/>
      <sheetData sheetId="3283">
        <row r="19">
          <cell r="B19" t="str">
            <v>Alquiler depot</v>
          </cell>
        </row>
      </sheetData>
      <sheetData sheetId="3284"/>
      <sheetData sheetId="3285">
        <row r="19">
          <cell r="B19" t="str">
            <v>Alquiler depot</v>
          </cell>
        </row>
      </sheetData>
      <sheetData sheetId="3286"/>
      <sheetData sheetId="3287"/>
      <sheetData sheetId="3288" refreshError="1"/>
      <sheetData sheetId="3289"/>
      <sheetData sheetId="3290"/>
      <sheetData sheetId="3291"/>
      <sheetData sheetId="3292"/>
      <sheetData sheetId="3293" refreshError="1"/>
      <sheetData sheetId="3294"/>
      <sheetData sheetId="3295"/>
      <sheetData sheetId="3296"/>
      <sheetData sheetId="3297"/>
      <sheetData sheetId="3298"/>
      <sheetData sheetId="3299"/>
      <sheetData sheetId="3300"/>
      <sheetData sheetId="3301"/>
      <sheetData sheetId="3302"/>
      <sheetData sheetId="3303"/>
      <sheetData sheetId="3304"/>
      <sheetData sheetId="3305"/>
      <sheetData sheetId="3306"/>
      <sheetData sheetId="3307"/>
      <sheetData sheetId="3308"/>
      <sheetData sheetId="3309"/>
      <sheetData sheetId="3310"/>
      <sheetData sheetId="3311"/>
      <sheetData sheetId="3312"/>
      <sheetData sheetId="3313"/>
      <sheetData sheetId="3314"/>
      <sheetData sheetId="3315">
        <row r="19">
          <cell r="B19" t="str">
            <v>02.厚板</v>
          </cell>
        </row>
      </sheetData>
      <sheetData sheetId="3316">
        <row r="19">
          <cell r="B19">
            <v>0</v>
          </cell>
        </row>
      </sheetData>
      <sheetData sheetId="3317">
        <row r="19">
          <cell r="B19">
            <v>0</v>
          </cell>
        </row>
      </sheetData>
      <sheetData sheetId="3318">
        <row r="19">
          <cell r="B19">
            <v>0</v>
          </cell>
        </row>
      </sheetData>
      <sheetData sheetId="3319">
        <row r="19">
          <cell r="B19">
            <v>0</v>
          </cell>
        </row>
      </sheetData>
      <sheetData sheetId="3320">
        <row r="19">
          <cell r="B19" t="str">
            <v>02.厚板</v>
          </cell>
        </row>
      </sheetData>
      <sheetData sheetId="3321">
        <row r="19">
          <cell r="B19" t="str">
            <v>02.厚板</v>
          </cell>
        </row>
      </sheetData>
      <sheetData sheetId="3322"/>
      <sheetData sheetId="3323"/>
      <sheetData sheetId="3324"/>
      <sheetData sheetId="3325"/>
      <sheetData sheetId="3326">
        <row r="19">
          <cell r="B19" t="str">
            <v>02.厚板</v>
          </cell>
        </row>
      </sheetData>
      <sheetData sheetId="3327">
        <row r="19">
          <cell r="B19" t="str">
            <v>02.厚板</v>
          </cell>
        </row>
      </sheetData>
      <sheetData sheetId="3328">
        <row r="19">
          <cell r="B19" t="str">
            <v>02.厚板</v>
          </cell>
        </row>
      </sheetData>
      <sheetData sheetId="3329">
        <row r="19">
          <cell r="B19" t="str">
            <v>Klaus Döltl</v>
          </cell>
        </row>
      </sheetData>
      <sheetData sheetId="3330"/>
      <sheetData sheetId="3331"/>
      <sheetData sheetId="3332"/>
      <sheetData sheetId="3333"/>
      <sheetData sheetId="3334"/>
      <sheetData sheetId="3335"/>
      <sheetData sheetId="3336">
        <row r="19">
          <cell r="B19" t="str">
            <v>Alquiler depot</v>
          </cell>
        </row>
      </sheetData>
      <sheetData sheetId="3337"/>
      <sheetData sheetId="3338">
        <row r="19">
          <cell r="B19" t="str">
            <v>Alquiler depot</v>
          </cell>
        </row>
      </sheetData>
      <sheetData sheetId="3339"/>
      <sheetData sheetId="3340">
        <row r="19">
          <cell r="B19" t="str">
            <v>Alquiler depot</v>
          </cell>
        </row>
      </sheetData>
      <sheetData sheetId="3341"/>
      <sheetData sheetId="3342">
        <row r="19">
          <cell r="B19" t="str">
            <v>Alquiler depot</v>
          </cell>
        </row>
      </sheetData>
      <sheetData sheetId="3343"/>
      <sheetData sheetId="3344"/>
      <sheetData sheetId="3345"/>
      <sheetData sheetId="3346"/>
      <sheetData sheetId="3347"/>
      <sheetData sheetId="3348"/>
      <sheetData sheetId="3349"/>
      <sheetData sheetId="3350"/>
      <sheetData sheetId="3351"/>
      <sheetData sheetId="3352"/>
      <sheetData sheetId="3353"/>
      <sheetData sheetId="3354"/>
      <sheetData sheetId="3355"/>
      <sheetData sheetId="3356"/>
      <sheetData sheetId="3357"/>
      <sheetData sheetId="3358"/>
      <sheetData sheetId="3359"/>
      <sheetData sheetId="3360"/>
      <sheetData sheetId="3361"/>
      <sheetData sheetId="3362"/>
      <sheetData sheetId="3363"/>
      <sheetData sheetId="3364"/>
      <sheetData sheetId="3365"/>
      <sheetData sheetId="3366"/>
      <sheetData sheetId="3367"/>
      <sheetData sheetId="3368"/>
      <sheetData sheetId="3369"/>
      <sheetData sheetId="3370"/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/>
      <sheetData sheetId="3380"/>
      <sheetData sheetId="3381"/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 refreshError="1"/>
      <sheetData sheetId="3407" refreshError="1"/>
      <sheetData sheetId="3408" refreshError="1"/>
      <sheetData sheetId="3409"/>
      <sheetData sheetId="3410"/>
      <sheetData sheetId="3411"/>
      <sheetData sheetId="3412">
        <row r="19">
          <cell r="B19" t="str">
            <v>02.厚板</v>
          </cell>
        </row>
      </sheetData>
      <sheetData sheetId="3413">
        <row r="19">
          <cell r="B19">
            <v>0</v>
          </cell>
        </row>
      </sheetData>
      <sheetData sheetId="3414">
        <row r="19">
          <cell r="B19">
            <v>0</v>
          </cell>
        </row>
      </sheetData>
      <sheetData sheetId="3415">
        <row r="19">
          <cell r="B19">
            <v>0</v>
          </cell>
        </row>
      </sheetData>
      <sheetData sheetId="3416">
        <row r="19">
          <cell r="B19">
            <v>0</v>
          </cell>
        </row>
      </sheetData>
      <sheetData sheetId="3417">
        <row r="19">
          <cell r="B19" t="str">
            <v>02.厚板</v>
          </cell>
        </row>
      </sheetData>
      <sheetData sheetId="3418">
        <row r="19">
          <cell r="B19" t="str">
            <v>02.厚板</v>
          </cell>
        </row>
      </sheetData>
      <sheetData sheetId="3419"/>
      <sheetData sheetId="3420"/>
      <sheetData sheetId="3421"/>
      <sheetData sheetId="3422"/>
      <sheetData sheetId="3423">
        <row r="19">
          <cell r="B19" t="str">
            <v>02.厚板</v>
          </cell>
        </row>
      </sheetData>
      <sheetData sheetId="3424">
        <row r="19">
          <cell r="B19" t="str">
            <v>02.厚板</v>
          </cell>
        </row>
      </sheetData>
      <sheetData sheetId="3425">
        <row r="19">
          <cell r="B19" t="str">
            <v>02.厚板</v>
          </cell>
        </row>
      </sheetData>
      <sheetData sheetId="3426">
        <row r="19">
          <cell r="B19" t="str">
            <v>Klaus Döltl</v>
          </cell>
        </row>
      </sheetData>
      <sheetData sheetId="3427"/>
      <sheetData sheetId="3428"/>
      <sheetData sheetId="3429"/>
      <sheetData sheetId="3430"/>
      <sheetData sheetId="3431"/>
      <sheetData sheetId="3432"/>
      <sheetData sheetId="3433">
        <row r="19">
          <cell r="B19" t="str">
            <v>Alquiler depot</v>
          </cell>
        </row>
      </sheetData>
      <sheetData sheetId="3434"/>
      <sheetData sheetId="3435">
        <row r="19">
          <cell r="B19" t="str">
            <v>Alquiler depot</v>
          </cell>
        </row>
      </sheetData>
      <sheetData sheetId="3436"/>
      <sheetData sheetId="3437">
        <row r="19">
          <cell r="B19" t="str">
            <v>Alquiler depot</v>
          </cell>
        </row>
      </sheetData>
      <sheetData sheetId="3438"/>
      <sheetData sheetId="3439">
        <row r="19">
          <cell r="B19" t="str">
            <v>Alquiler depot</v>
          </cell>
        </row>
      </sheetData>
      <sheetData sheetId="3440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>
        <row r="19">
          <cell r="B19" t="str">
            <v>02.厚板</v>
          </cell>
        </row>
      </sheetData>
      <sheetData sheetId="3450">
        <row r="19">
          <cell r="B19">
            <v>0</v>
          </cell>
        </row>
      </sheetData>
      <sheetData sheetId="3451">
        <row r="19">
          <cell r="B19">
            <v>0</v>
          </cell>
        </row>
      </sheetData>
      <sheetData sheetId="3452">
        <row r="19">
          <cell r="B19">
            <v>0</v>
          </cell>
        </row>
      </sheetData>
      <sheetData sheetId="3453">
        <row r="19">
          <cell r="B19">
            <v>0</v>
          </cell>
        </row>
      </sheetData>
      <sheetData sheetId="3454">
        <row r="19">
          <cell r="B19" t="str">
            <v>02.厚板</v>
          </cell>
        </row>
      </sheetData>
      <sheetData sheetId="3455">
        <row r="19">
          <cell r="B19" t="str">
            <v>02.厚板</v>
          </cell>
        </row>
      </sheetData>
      <sheetData sheetId="3456"/>
      <sheetData sheetId="3457"/>
      <sheetData sheetId="3458"/>
      <sheetData sheetId="3459"/>
      <sheetData sheetId="3460">
        <row r="19">
          <cell r="B19" t="str">
            <v>02.厚板</v>
          </cell>
        </row>
      </sheetData>
      <sheetData sheetId="3461">
        <row r="19">
          <cell r="B19" t="str">
            <v>02.厚板</v>
          </cell>
        </row>
      </sheetData>
      <sheetData sheetId="3462">
        <row r="19">
          <cell r="B19" t="str">
            <v>02.厚板</v>
          </cell>
        </row>
      </sheetData>
      <sheetData sheetId="3463">
        <row r="19">
          <cell r="B19" t="str">
            <v>Klaus Döltl</v>
          </cell>
        </row>
      </sheetData>
      <sheetData sheetId="3464"/>
      <sheetData sheetId="3465"/>
      <sheetData sheetId="3466"/>
      <sheetData sheetId="3467"/>
      <sheetData sheetId="3468"/>
      <sheetData sheetId="3469"/>
      <sheetData sheetId="3470">
        <row r="19">
          <cell r="B19" t="str">
            <v>Alquiler depot</v>
          </cell>
        </row>
      </sheetData>
      <sheetData sheetId="3471"/>
      <sheetData sheetId="3472">
        <row r="19">
          <cell r="B19" t="str">
            <v>Alquiler depot</v>
          </cell>
        </row>
      </sheetData>
      <sheetData sheetId="3473"/>
      <sheetData sheetId="3474">
        <row r="19">
          <cell r="B19" t="str">
            <v>Alquiler depot</v>
          </cell>
        </row>
      </sheetData>
      <sheetData sheetId="3475"/>
      <sheetData sheetId="3476">
        <row r="19">
          <cell r="B19" t="str">
            <v>Alquiler depot</v>
          </cell>
        </row>
      </sheetData>
      <sheetData sheetId="3477"/>
      <sheetData sheetId="3478"/>
      <sheetData sheetId="3479"/>
      <sheetData sheetId="3480"/>
      <sheetData sheetId="3481"/>
      <sheetData sheetId="3482"/>
      <sheetData sheetId="3483"/>
      <sheetData sheetId="3484"/>
      <sheetData sheetId="3485"/>
      <sheetData sheetId="3486"/>
      <sheetData sheetId="3487"/>
      <sheetData sheetId="3488"/>
      <sheetData sheetId="3489"/>
      <sheetData sheetId="3490"/>
      <sheetData sheetId="3491"/>
      <sheetData sheetId="3492"/>
      <sheetData sheetId="3493"/>
      <sheetData sheetId="3494"/>
      <sheetData sheetId="3495"/>
      <sheetData sheetId="3496"/>
      <sheetData sheetId="3497"/>
      <sheetData sheetId="3498"/>
      <sheetData sheetId="3499"/>
      <sheetData sheetId="3500"/>
      <sheetData sheetId="3501"/>
      <sheetData sheetId="3502"/>
      <sheetData sheetId="3503">
        <row r="19">
          <cell r="B19" t="str">
            <v>02.厚板</v>
          </cell>
        </row>
      </sheetData>
      <sheetData sheetId="3504">
        <row r="19">
          <cell r="B19">
            <v>0</v>
          </cell>
        </row>
      </sheetData>
      <sheetData sheetId="3505">
        <row r="19">
          <cell r="B19">
            <v>0</v>
          </cell>
        </row>
      </sheetData>
      <sheetData sheetId="3506">
        <row r="19">
          <cell r="B19">
            <v>0</v>
          </cell>
        </row>
      </sheetData>
      <sheetData sheetId="3507">
        <row r="19">
          <cell r="B19">
            <v>0</v>
          </cell>
        </row>
      </sheetData>
      <sheetData sheetId="3508">
        <row r="19">
          <cell r="B19" t="str">
            <v>02.厚板</v>
          </cell>
        </row>
      </sheetData>
      <sheetData sheetId="3509">
        <row r="19">
          <cell r="B19" t="str">
            <v>02.厚板</v>
          </cell>
        </row>
      </sheetData>
      <sheetData sheetId="3510"/>
      <sheetData sheetId="3511"/>
      <sheetData sheetId="3512">
        <row r="19">
          <cell r="B19">
            <v>0</v>
          </cell>
        </row>
      </sheetData>
      <sheetData sheetId="3513">
        <row r="19">
          <cell r="B19">
            <v>0</v>
          </cell>
        </row>
      </sheetData>
      <sheetData sheetId="3514">
        <row r="19">
          <cell r="B19" t="str">
            <v>02.厚板</v>
          </cell>
        </row>
      </sheetData>
      <sheetData sheetId="3515">
        <row r="19">
          <cell r="B19" t="str">
            <v>02.厚板</v>
          </cell>
        </row>
      </sheetData>
      <sheetData sheetId="3516">
        <row r="19">
          <cell r="B19" t="str">
            <v>02.厚板</v>
          </cell>
        </row>
      </sheetData>
      <sheetData sheetId="3517">
        <row r="19">
          <cell r="B19" t="str">
            <v>Klaus Döltl</v>
          </cell>
        </row>
      </sheetData>
      <sheetData sheetId="3518"/>
      <sheetData sheetId="3519"/>
      <sheetData sheetId="3520"/>
      <sheetData sheetId="3521"/>
      <sheetData sheetId="3522"/>
      <sheetData sheetId="3523"/>
      <sheetData sheetId="3524">
        <row r="19">
          <cell r="B19" t="str">
            <v>Alquiler depot</v>
          </cell>
        </row>
      </sheetData>
      <sheetData sheetId="3525"/>
      <sheetData sheetId="3526">
        <row r="19">
          <cell r="B19" t="str">
            <v>Alquiler depot</v>
          </cell>
        </row>
      </sheetData>
      <sheetData sheetId="3527"/>
      <sheetData sheetId="3528">
        <row r="19">
          <cell r="B19" t="str">
            <v>Alquiler depot</v>
          </cell>
        </row>
      </sheetData>
      <sheetData sheetId="3529"/>
      <sheetData sheetId="3530">
        <row r="19">
          <cell r="B19" t="str">
            <v>Alquiler depot</v>
          </cell>
        </row>
      </sheetData>
      <sheetData sheetId="3531"/>
      <sheetData sheetId="3532">
        <row r="19">
          <cell r="B19" t="str">
            <v>Alquiler depot</v>
          </cell>
        </row>
      </sheetData>
      <sheetData sheetId="3533"/>
      <sheetData sheetId="3534"/>
      <sheetData sheetId="3535"/>
      <sheetData sheetId="3536"/>
      <sheetData sheetId="3537"/>
      <sheetData sheetId="3538"/>
      <sheetData sheetId="3539"/>
      <sheetData sheetId="3540"/>
      <sheetData sheetId="3541"/>
      <sheetData sheetId="35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G"/>
      <sheetName val="BS"/>
      <sheetName val="CO"/>
      <sheetName val="CR"/>
      <sheetName val="MN"/>
      <sheetName val="MI"/>
      <sheetName val="PV"/>
      <sheetName val="SO"/>
      <sheetName val="VA"/>
      <sheetName val="TOTPR"/>
      <sheetName val="AgLavoro"/>
      <sheetName val="Database"/>
      <sheetName val="Param-econ"/>
      <sheetName val="ARPA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 t="str">
            <v>A1</v>
          </cell>
          <cell r="B5">
            <v>13473000</v>
          </cell>
          <cell r="C5">
            <v>12090354</v>
          </cell>
          <cell r="F5">
            <v>27693633.5</v>
          </cell>
          <cell r="G5">
            <v>3600000</v>
          </cell>
        </row>
        <row r="6">
          <cell r="A6" t="str">
            <v>A2</v>
          </cell>
          <cell r="B6">
            <v>13885000</v>
          </cell>
          <cell r="C6">
            <v>12090354</v>
          </cell>
          <cell r="D6">
            <v>125000</v>
          </cell>
          <cell r="F6">
            <v>28264966.833333336</v>
          </cell>
          <cell r="G6">
            <v>3600000</v>
          </cell>
        </row>
        <row r="7">
          <cell r="A7" t="str">
            <v>A3</v>
          </cell>
          <cell r="B7">
            <v>14412000</v>
          </cell>
          <cell r="C7">
            <v>12090354</v>
          </cell>
          <cell r="D7">
            <v>125000</v>
          </cell>
          <cell r="F7">
            <v>28835883.5</v>
          </cell>
          <cell r="G7">
            <v>3600000</v>
          </cell>
        </row>
        <row r="8">
          <cell r="A8" t="str">
            <v>A4</v>
          </cell>
          <cell r="B8">
            <v>14960000</v>
          </cell>
          <cell r="C8">
            <v>12090354</v>
          </cell>
          <cell r="D8">
            <v>125000</v>
          </cell>
          <cell r="F8">
            <v>29429550.166666664</v>
          </cell>
          <cell r="G8">
            <v>3600000</v>
          </cell>
        </row>
        <row r="9">
          <cell r="A9" t="str">
            <v>B1B1</v>
          </cell>
          <cell r="B9">
            <v>14809000</v>
          </cell>
          <cell r="C9">
            <v>12166621</v>
          </cell>
          <cell r="D9">
            <v>125000</v>
          </cell>
          <cell r="F9">
            <v>29348589.416666664</v>
          </cell>
          <cell r="G9">
            <v>4300000</v>
          </cell>
        </row>
        <row r="10">
          <cell r="A10" t="str">
            <v>B1B2</v>
          </cell>
          <cell r="B10">
            <v>15345000</v>
          </cell>
          <cell r="C10">
            <v>12166621</v>
          </cell>
          <cell r="D10">
            <v>125000</v>
          </cell>
          <cell r="F10">
            <v>29929256.083333336</v>
          </cell>
          <cell r="G10">
            <v>4300000</v>
          </cell>
        </row>
        <row r="11">
          <cell r="A11" t="str">
            <v>B1B3</v>
          </cell>
          <cell r="B11">
            <v>16353000</v>
          </cell>
          <cell r="C11">
            <v>12166621</v>
          </cell>
          <cell r="F11">
            <v>30896256.083333336</v>
          </cell>
          <cell r="G11">
            <v>4300000</v>
          </cell>
        </row>
        <row r="12">
          <cell r="A12" t="str">
            <v>B1B4</v>
          </cell>
          <cell r="B12">
            <v>16845000</v>
          </cell>
          <cell r="C12">
            <v>12166621</v>
          </cell>
          <cell r="F12">
            <v>31429256.083333336</v>
          </cell>
          <cell r="G12">
            <v>4300000</v>
          </cell>
        </row>
        <row r="13">
          <cell r="A13" t="str">
            <v>B3B3</v>
          </cell>
          <cell r="B13">
            <v>16353000</v>
          </cell>
          <cell r="C13">
            <v>12273723</v>
          </cell>
          <cell r="F13">
            <v>31012283.25</v>
          </cell>
          <cell r="G13">
            <v>4300000</v>
          </cell>
        </row>
        <row r="14">
          <cell r="A14" t="str">
            <v>B3B4</v>
          </cell>
          <cell r="B14">
            <v>16845000</v>
          </cell>
          <cell r="C14">
            <v>12273723</v>
          </cell>
          <cell r="F14">
            <v>31545283.25</v>
          </cell>
          <cell r="G14">
            <v>4300000</v>
          </cell>
        </row>
        <row r="15">
          <cell r="A15" t="str">
            <v>B3B5</v>
          </cell>
          <cell r="B15">
            <v>17416000</v>
          </cell>
          <cell r="C15">
            <v>12273723</v>
          </cell>
          <cell r="F15">
            <v>32163866.583333336</v>
          </cell>
          <cell r="G15">
            <v>4300000</v>
          </cell>
        </row>
        <row r="16">
          <cell r="A16" t="str">
            <v>B3B6</v>
          </cell>
          <cell r="B16">
            <v>18028000</v>
          </cell>
          <cell r="C16">
            <v>12273723</v>
          </cell>
          <cell r="F16">
            <v>32826866.583333336</v>
          </cell>
          <cell r="G16">
            <v>4300000</v>
          </cell>
        </row>
        <row r="17">
          <cell r="A17" t="str">
            <v>C1</v>
          </cell>
          <cell r="B17">
            <v>17847000</v>
          </cell>
          <cell r="C17">
            <v>12355767</v>
          </cell>
          <cell r="F17">
            <v>32719664.25</v>
          </cell>
          <cell r="G17">
            <v>4800000</v>
          </cell>
        </row>
        <row r="18">
          <cell r="A18" t="str">
            <v>C2</v>
          </cell>
          <cell r="B18">
            <v>18707000</v>
          </cell>
          <cell r="C18">
            <v>12355767</v>
          </cell>
          <cell r="F18">
            <v>33651330.916666664</v>
          </cell>
          <cell r="G18">
            <v>4800000</v>
          </cell>
        </row>
        <row r="19">
          <cell r="A19" t="str">
            <v>C3</v>
          </cell>
          <cell r="B19">
            <v>19632000</v>
          </cell>
          <cell r="C19">
            <v>12355767</v>
          </cell>
          <cell r="F19">
            <v>34653414.25</v>
          </cell>
          <cell r="G19">
            <v>4800000</v>
          </cell>
        </row>
        <row r="20">
          <cell r="A20" t="str">
            <v>C4</v>
          </cell>
          <cell r="B20">
            <v>20816000</v>
          </cell>
          <cell r="C20">
            <v>12355767</v>
          </cell>
          <cell r="F20">
            <v>35936080.916666664</v>
          </cell>
          <cell r="G20">
            <v>4800000</v>
          </cell>
        </row>
        <row r="21">
          <cell r="A21" t="str">
            <v>D1D1</v>
          </cell>
          <cell r="B21">
            <v>20651000</v>
          </cell>
          <cell r="C21">
            <v>12500626</v>
          </cell>
          <cell r="F21">
            <v>35914261.5</v>
          </cell>
          <cell r="G21">
            <v>5700000</v>
          </cell>
        </row>
        <row r="22">
          <cell r="A22" t="str">
            <v>D1D2</v>
          </cell>
          <cell r="B22">
            <v>22551000</v>
          </cell>
          <cell r="C22">
            <v>12500626</v>
          </cell>
          <cell r="F22">
            <v>37972594.833333336</v>
          </cell>
          <cell r="G22">
            <v>5700000</v>
          </cell>
        </row>
        <row r="23">
          <cell r="A23" t="str">
            <v>D1D3</v>
          </cell>
          <cell r="B23">
            <v>25847000</v>
          </cell>
          <cell r="C23">
            <v>12500626</v>
          </cell>
          <cell r="F23">
            <v>41543261.5</v>
          </cell>
          <cell r="G23">
            <v>5700000</v>
          </cell>
        </row>
        <row r="24">
          <cell r="A24" t="str">
            <v>D1D4</v>
          </cell>
          <cell r="B24">
            <v>27748000</v>
          </cell>
          <cell r="C24">
            <v>12500626</v>
          </cell>
          <cell r="F24">
            <v>43602678.166666664</v>
          </cell>
          <cell r="G24">
            <v>5700000</v>
          </cell>
        </row>
        <row r="25">
          <cell r="A25" t="str">
            <v>D3D3</v>
          </cell>
          <cell r="B25">
            <v>25847000</v>
          </cell>
          <cell r="C25">
            <v>12846799</v>
          </cell>
          <cell r="F25">
            <v>41918282.25</v>
          </cell>
          <cell r="G25">
            <v>5700000</v>
          </cell>
        </row>
        <row r="26">
          <cell r="A26" t="str">
            <v>D3D4</v>
          </cell>
          <cell r="B26">
            <v>27748000</v>
          </cell>
          <cell r="C26">
            <v>12846799</v>
          </cell>
          <cell r="F26">
            <v>43977698.916666664</v>
          </cell>
          <cell r="G26">
            <v>5700000</v>
          </cell>
        </row>
        <row r="27">
          <cell r="A27" t="str">
            <v>D3D5</v>
          </cell>
          <cell r="B27">
            <v>29820000</v>
          </cell>
          <cell r="C27">
            <v>12846799</v>
          </cell>
          <cell r="F27">
            <v>46222365.583333336</v>
          </cell>
          <cell r="G27">
            <v>5700000</v>
          </cell>
        </row>
        <row r="28">
          <cell r="A28" t="str">
            <v>DIR-C</v>
          </cell>
          <cell r="B28">
            <v>64615384.615384623</v>
          </cell>
          <cell r="F28">
            <v>70000000</v>
          </cell>
        </row>
        <row r="29">
          <cell r="A29" t="str">
            <v>DIR-C1</v>
          </cell>
          <cell r="B29">
            <v>64615384.615384623</v>
          </cell>
          <cell r="F29">
            <v>70000000</v>
          </cell>
        </row>
        <row r="30">
          <cell r="A30" t="str">
            <v>DIR-C2</v>
          </cell>
          <cell r="B30">
            <v>64615384.615384623</v>
          </cell>
          <cell r="F30">
            <v>70000000</v>
          </cell>
        </row>
        <row r="31">
          <cell r="A31" t="str">
            <v>Q1</v>
          </cell>
          <cell r="B31">
            <v>27748000</v>
          </cell>
          <cell r="C31">
            <v>12846799</v>
          </cell>
          <cell r="F31">
            <v>43977698.916666664</v>
          </cell>
        </row>
        <row r="32">
          <cell r="A32" t="str">
            <v>Q2</v>
          </cell>
          <cell r="B32">
            <v>27748000</v>
          </cell>
          <cell r="C32">
            <v>12846799</v>
          </cell>
          <cell r="F32">
            <v>43977698.916666664</v>
          </cell>
        </row>
        <row r="33">
          <cell r="A33" t="str">
            <v>Q3</v>
          </cell>
          <cell r="B33">
            <v>27748000</v>
          </cell>
          <cell r="C33">
            <v>12846799</v>
          </cell>
          <cell r="F33">
            <v>43977698.916666664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spetto dainotti"/>
      <sheetName val="Foglio12"/>
      <sheetName val="Solo non ancoa contr"/>
      <sheetName val="DB generale"/>
      <sheetName val="Solo presentate non cert"/>
      <sheetName val="Foglio10"/>
      <sheetName val="Solo validate non cert"/>
      <sheetName val="Assi 1-5 cert dic 2019"/>
      <sheetName val="Foglio3"/>
      <sheetName val="Foglio4"/>
      <sheetName val="Foglio14"/>
      <sheetName val="Solo contr avviati ma no finiti"/>
      <sheetName val="Aiuti con più di una r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1159528Provincia di Lecco</v>
          </cell>
        </row>
      </sheetData>
      <sheetData sheetId="9">
        <row r="1">
          <cell r="A1" t="str">
            <v>1398444UNIVA SERVIZI S.R.L.</v>
          </cell>
        </row>
        <row r="2">
          <cell r="A2" t="str">
            <v>1398444UNINDUSTRIA SERVIZI S.R.L.</v>
          </cell>
        </row>
        <row r="3">
          <cell r="A3" t="str">
            <v>1398481TECHINNOVA S.R.L.</v>
          </cell>
        </row>
        <row r="4">
          <cell r="A4" t="str">
            <v>1404743MTM S.R.L.</v>
          </cell>
        </row>
        <row r="5">
          <cell r="A5" t="str">
            <v>1404743HUMAN FACTOR &amp; INNOVATION S.R.L. start-up costituita a norma dell'art. 4 comma 10 bis del decreto legge 24 gennaio 2015, n. 3</v>
          </cell>
        </row>
        <row r="6">
          <cell r="A6" t="str">
            <v>1394913LATTERIA SOCIALE DI CHIURO SOCIETA' COOPERATIVA AGRICOLA</v>
          </cell>
        </row>
        <row r="7">
          <cell r="A7" t="str">
            <v>1394913VALTELLINABIO SRL</v>
          </cell>
        </row>
        <row r="8">
          <cell r="A8" t="str">
            <v>1402799V.C.O. TRASPORTI SRL</v>
          </cell>
        </row>
        <row r="9">
          <cell r="A9" t="str">
            <v>1404436EASYGOV SOLUTIONS S.R.L.</v>
          </cell>
        </row>
        <row r="10">
          <cell r="A10" t="str">
            <v>1404436"VARESE WEB - S.R.L."</v>
          </cell>
        </row>
        <row r="11">
          <cell r="A11" t="str">
            <v>1403938PTSCLAS</v>
          </cell>
        </row>
        <row r="12">
          <cell r="A12" t="str">
            <v>1451171CONSORZIO FORESTALE LARIO INTELVESE</v>
          </cell>
        </row>
        <row r="13">
          <cell r="A13" t="str">
            <v>1469166BLU PROGETTI - S.R.L.</v>
          </cell>
        </row>
        <row r="14">
          <cell r="A14" t="str">
            <v>1461355CONSORZIO FORESTALE LARIO INTELVESE</v>
          </cell>
        </row>
        <row r="15">
          <cell r="A15" t="str">
            <v>1461161CONSORZIO TURISTICO DEL MANDAMENTO DI SONDRIO</v>
          </cell>
        </row>
      </sheetData>
      <sheetData sheetId="10"/>
      <sheetData sheetId="11"/>
      <sheetData sheetId="12">
        <row r="1">
          <cell r="A1">
            <v>1398440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Solo REND certificate"/>
      <sheetName val="Solo REND non certificate"/>
      <sheetName val="No aiuti dic 2019"/>
      <sheetName val="Aiuti cert"/>
      <sheetName val="Rend certificate dic 2019"/>
      <sheetName val="Prospetto "/>
      <sheetName val="Suddivisione per amministrazion"/>
      <sheetName val="Foglio16"/>
      <sheetName val="Foglio17"/>
      <sheetName val="Fogli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 t="str">
            <v>1322533Fondazione"Monastero Santa Maria del Lavello"</v>
          </cell>
        </row>
        <row r="2">
          <cell r="A2" t="str">
            <v>1409732Comunità comprensoriale Val Venosta</v>
          </cell>
        </row>
        <row r="3">
          <cell r="A3" t="str">
            <v>1331921Comune di Merano</v>
          </cell>
        </row>
        <row r="4">
          <cell r="A4" t="str">
            <v>1404365IDM Suedtirol - Alto Adige</v>
          </cell>
        </row>
        <row r="5">
          <cell r="A5" t="str">
            <v>1413510Comunità comprensoriale Val Venosta</v>
          </cell>
        </row>
        <row r="6">
          <cell r="A6" t="str">
            <v>1495102Comune di Macugnaga</v>
          </cell>
        </row>
        <row r="7">
          <cell r="A7" t="str">
            <v>1331921SASA (Società Autobus Servizi d'Area)</v>
          </cell>
        </row>
        <row r="8">
          <cell r="A8" t="str">
            <v>1409270Comune di Ollomont</v>
          </cell>
        </row>
        <row r="9">
          <cell r="A9" t="str">
            <v>1458772FONDAZIONE LUIGI CLERICI</v>
          </cell>
        </row>
        <row r="10">
          <cell r="A10" t="str">
            <v>1476249Comune di Bolzano</v>
          </cell>
        </row>
        <row r="11">
          <cell r="A11" t="str">
            <v>1685662CENTRO DI RICERCA E DOCUMENTAZIONE LUIGI EINAUDI</v>
          </cell>
        </row>
        <row r="12">
          <cell r="A12" t="str">
            <v>1445261TTS TECHNOLOGY TRANSFER SYSTEM - S.R.L.</v>
          </cell>
        </row>
        <row r="13">
          <cell r="A13" t="str">
            <v>1389844SVILUPPO COMO - COMONEXT S.P.A.</v>
          </cell>
        </row>
        <row r="14">
          <cell r="A14" t="str">
            <v>1383036Fondazione M.Tettmanti M.De Marchi</v>
          </cell>
        </row>
        <row r="15">
          <cell r="A15" t="str">
            <v>1699202PTSCLAS</v>
          </cell>
        </row>
        <row r="16">
          <cell r="A16" t="str">
            <v>1699202UNIVERSITA' CARLO CATTANEO - LIUC</v>
          </cell>
        </row>
        <row r="17">
          <cell r="A17" t="str">
            <v>1701569UNIVERSITA ' CARLO CATTANEO - LIUC</v>
          </cell>
        </row>
        <row r="18">
          <cell r="A18" t="str">
            <v>1714864UNIVERSITA' CARLO CATTANEO - LIUC</v>
          </cell>
        </row>
        <row r="19">
          <cell r="A19" t="str">
            <v>1694066Comune di Castelletto Sopra Ticino</v>
          </cell>
        </row>
      </sheetData>
      <sheetData sheetId="9">
        <row r="1">
          <cell r="A1" t="str">
            <v>1508475LUINO</v>
          </cell>
        </row>
        <row r="2">
          <cell r="A2" t="str">
            <v>1509016LUINO</v>
          </cell>
        </row>
        <row r="3">
          <cell r="A3" t="str">
            <v>1618908FONDAZIONE LUIGI CLERICI</v>
          </cell>
        </row>
        <row r="4">
          <cell r="A4" t="str">
            <v>1698958Fondazione M.Tettmanti M.De Marchi</v>
          </cell>
        </row>
        <row r="5">
          <cell r="A5" t="str">
            <v>1711032Provincia di Varese</v>
          </cell>
        </row>
        <row r="6">
          <cell r="A6" t="str">
            <v>1660296FONDAZIONE NUOVO TEATRO FARAGGIANA</v>
          </cell>
        </row>
        <row r="7">
          <cell r="A7" t="str">
            <v>1660296Associazione Didee - arti e comunicazione</v>
          </cell>
        </row>
        <row r="8">
          <cell r="A8" t="str">
            <v>1660296OLTRE LE QUINTE A.P.S.</v>
          </cell>
        </row>
        <row r="9">
          <cell r="A9" t="str">
            <v>1660296Università del Piemonte Orientale</v>
          </cell>
        </row>
        <row r="10">
          <cell r="A10" t="str">
            <v>1707708Camera di Commercio del Verbano Cusio Ossola</v>
          </cell>
        </row>
        <row r="11">
          <cell r="A11" t="str">
            <v>1707708Camera di Commercio Industria Artigianato Agricoltura di Novara</v>
          </cell>
        </row>
        <row r="12">
          <cell r="A12" t="str">
            <v>1735611Camera di Commercio del Verbano Cusio Ossola</v>
          </cell>
        </row>
      </sheetData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Solo esterni Assi 1-5"/>
      <sheetName val="Asse 6 esterni"/>
      <sheetName val="Foglio1"/>
      <sheetName val="Foglio2"/>
    </sheetNames>
    <sheetDataSet>
      <sheetData sheetId="0"/>
      <sheetData sheetId="1"/>
      <sheetData sheetId="2"/>
      <sheetData sheetId="3">
        <row r="2">
          <cell r="A2" t="str">
            <v>1383036Fondazione M.Tettmanti M.De Marchi</v>
          </cell>
        </row>
        <row r="3">
          <cell r="A3" t="str">
            <v>1475906ANFFAS LOMBARDIA ONLUS</v>
          </cell>
        </row>
        <row r="4">
          <cell r="A4" t="str">
            <v>1618908FONDAZIONE LUIGI CLERICI</v>
          </cell>
        </row>
        <row r="5">
          <cell r="A5" t="str">
            <v>1629727DEMETRA SPECIALIST S.R.L.</v>
          </cell>
        </row>
        <row r="6">
          <cell r="A6" t="str">
            <v>1643444A.P.I. ASSOCIAZIONE PICCOLE E MEDIE INDUSTRIE DI LECCO</v>
          </cell>
        </row>
        <row r="7">
          <cell r="A7" t="str">
            <v>1643444CONFARTIGIANATO IMPRESE LOMBARDIA</v>
          </cell>
        </row>
        <row r="8">
          <cell r="A8" t="str">
            <v>1643444CONFARTIGIANATO IMPRESE LECCO</v>
          </cell>
        </row>
        <row r="9">
          <cell r="A9" t="str">
            <v>1675768BLU PROGETTI - S.R.L.</v>
          </cell>
        </row>
        <row r="10">
          <cell r="A10" t="str">
            <v>1698958Fondazione M.Tettmanti M.De Marchi</v>
          </cell>
        </row>
        <row r="11">
          <cell r="A11" t="str">
            <v>1699202PTSCLAS</v>
          </cell>
        </row>
        <row r="12">
          <cell r="A12" t="str">
            <v>1699202UNIVERSITA' CARLO CATTANEO - LIUC</v>
          </cell>
        </row>
        <row r="13">
          <cell r="A13" t="str">
            <v>1701569ARS AMBIENTE S.R.L.</v>
          </cell>
        </row>
        <row r="14">
          <cell r="A14" t="str">
            <v>1701569UNIVERSITA ' CARLO CATTANEO - LIUC</v>
          </cell>
        </row>
        <row r="15">
          <cell r="A15" t="str">
            <v>1707535"TECHNOSPRINGS ITALIA S.R.L."</v>
          </cell>
        </row>
        <row r="16">
          <cell r="A16" t="str">
            <v>1714864UNIVERSITA' CARLO CATTANEO - LIUC</v>
          </cell>
        </row>
        <row r="17">
          <cell r="A17" t="str">
            <v>1711032Provincia di Varese</v>
          </cell>
        </row>
        <row r="18">
          <cell r="A18" t="str">
            <v>1660296FONDAZIONE NUOVO TEATRO FARAGGIANA</v>
          </cell>
        </row>
        <row r="19">
          <cell r="A19" t="str">
            <v>1660296Associazione Didee - arti e comunicazione</v>
          </cell>
        </row>
        <row r="20">
          <cell r="A20" t="str">
            <v>1660296OLTRE LE QUINTE A.P.S.</v>
          </cell>
        </row>
        <row r="21">
          <cell r="A21" t="str">
            <v>1660296Università del Piemonte Orientale</v>
          </cell>
        </row>
        <row r="22">
          <cell r="A22" t="str">
            <v>1684809Camera di Commercio del Verbano Cusio Ossola</v>
          </cell>
        </row>
        <row r="23">
          <cell r="A23" t="str">
            <v>1684809Camera di Commercio Industria Artigianato Agricoltura di Novara</v>
          </cell>
        </row>
        <row r="24">
          <cell r="A24" t="str">
            <v>1694066Comune di Castelletto Sopra Ticino</v>
          </cell>
        </row>
        <row r="25">
          <cell r="A25" t="str">
            <v>1707708Camera di Commercio del Verbano Cusio Ossola</v>
          </cell>
        </row>
        <row r="26">
          <cell r="A26" t="str">
            <v>1707708Camera di Commercio Industria Artigianato Agricoltura di Novara</v>
          </cell>
        </row>
        <row r="27">
          <cell r="A27" t="str">
            <v>1735611Camera di Commercio del Verbano Cusio Ossola</v>
          </cell>
        </row>
        <row r="28">
          <cell r="A28" t="str">
            <v>1523622Università del Piemonte Orientale</v>
          </cell>
        </row>
        <row r="29">
          <cell r="A29" t="str">
            <v>1723783Università del Piemonte Orientale</v>
          </cell>
        </row>
        <row r="30">
          <cell r="A30" t="str">
            <v>1667276UNINDUSTRIA SERVIZI S.R.L.</v>
          </cell>
        </row>
        <row r="31">
          <cell r="A31" t="str">
            <v>1269167IDM Suedtirol - Alto Adige</v>
          </cell>
        </row>
        <row r="32">
          <cell r="A32" t="str">
            <v>1269167Agenzia per l'Energia Alto Adige - CasaClima</v>
          </cell>
        </row>
        <row r="33">
          <cell r="A33" t="str">
            <v>1269167EURAC research - Istituto per le Energie Rinnovabili</v>
          </cell>
        </row>
        <row r="34">
          <cell r="A34" t="str">
            <v>1331921SASA (Società Autobus Servizi d'Area)</v>
          </cell>
        </row>
        <row r="35">
          <cell r="A35" t="str">
            <v>1331921Comune di Merano</v>
          </cell>
        </row>
        <row r="36">
          <cell r="A36" t="str">
            <v>1331921NOI S.P.A. % NOI A.G.</v>
          </cell>
        </row>
        <row r="37">
          <cell r="A37" t="str">
            <v>1402805EUROPAEISCHE AKADEMIE BOZEN AUF ITALIENISCH "ACCADEMIA EUROPEA  DI BOLZANO " AUF LADINISCH "ACADEMIA EUROPEICA BULSAN" AUF ENGLISCH "EUROPEAN ACADEMY OF BOZEN-BOLZANO"</v>
          </cell>
        </row>
        <row r="38">
          <cell r="A38" t="str">
            <v>1404365EURAC research - Istituto per le Energie Rinnovabili</v>
          </cell>
        </row>
        <row r="39">
          <cell r="A39" t="str">
            <v>1404365Agenzia per l'Energia Alto Adige - CasaClima</v>
          </cell>
        </row>
        <row r="40">
          <cell r="A40" t="str">
            <v>1404365IDM Suedtirol - Alto Adige</v>
          </cell>
        </row>
        <row r="41">
          <cell r="A41" t="str">
            <v>1404436Fondazione Bruno Kessler</v>
          </cell>
        </row>
        <row r="42">
          <cell r="A42" t="str">
            <v>1409732Comunità comprensoriale Val Venosta</v>
          </cell>
        </row>
        <row r="43">
          <cell r="A43" t="str">
            <v>1468280NOI S.P.A. % NOI A.G.</v>
          </cell>
        </row>
        <row r="44">
          <cell r="A44" t="str">
            <v>1476249Comune di Bolzano</v>
          </cell>
        </row>
        <row r="45">
          <cell r="A45" t="str">
            <v>1476249R3 GIS S.R.L.</v>
          </cell>
        </row>
        <row r="46">
          <cell r="A46" t="str">
            <v>1413510Comunità comprensoriale Val Venosta</v>
          </cell>
        </row>
        <row r="47">
          <cell r="A47" t="str">
            <v>1404572Associazione Italo Svizzera per gli Scavi di Piuro</v>
          </cell>
        </row>
        <row r="48">
          <cell r="A48" t="str">
            <v>1404572FONDAZIONE POLITECNICO DI MILANO</v>
          </cell>
        </row>
        <row r="49">
          <cell r="A49" t="str">
            <v>1404572Politecnico di Milano</v>
          </cell>
        </row>
        <row r="50">
          <cell r="A50" t="str">
            <v>1460822FONDAZIONE POLITECNICO DI MILANO</v>
          </cell>
        </row>
        <row r="51">
          <cell r="A51" t="str">
            <v>1446369ALFA S.R.L.</v>
          </cell>
        </row>
        <row r="52">
          <cell r="A52" t="str">
            <v>1282320DAYMED SRL</v>
          </cell>
        </row>
        <row r="53">
          <cell r="A53" t="str">
            <v>1282320APTSOL SOCIETA' A RESPONSABILITA' LIMITATA SEMPLIFICATA</v>
          </cell>
        </row>
        <row r="54">
          <cell r="A54" t="str">
            <v>1282320Università del Piemonte Orientale</v>
          </cell>
        </row>
        <row r="55">
          <cell r="A55" t="str">
            <v>1385474APTSOL SOCIETA' A RESPONSABILITA' LIMITATA SEMPLIFICATA</v>
          </cell>
        </row>
        <row r="56">
          <cell r="A56" t="str">
            <v>1385474Università del Piemonte Orientale</v>
          </cell>
        </row>
        <row r="57">
          <cell r="A57" t="str">
            <v>1389844SVILUPPO COMO - COMONEXT S.P.A.</v>
          </cell>
        </row>
        <row r="58">
          <cell r="A58" t="str">
            <v>1445261TTS TECHNOLOGY TRANSFER SYSTEM - S.R.L.</v>
          </cell>
        </row>
        <row r="59">
          <cell r="A59" t="str">
            <v>1207108FONDAZIONE NUOVO TEATRO FARAGGIANA</v>
          </cell>
        </row>
        <row r="60">
          <cell r="A60" t="str">
            <v>1452014FONDAZIONE NUOVO TEATRO FARAGGIANA</v>
          </cell>
        </row>
        <row r="61">
          <cell r="A61" t="str">
            <v>1452014Associazione Didee - arti e comunicazione</v>
          </cell>
        </row>
        <row r="62">
          <cell r="A62" t="str">
            <v>1452014OLTRE LE QUINTE A.P.S.</v>
          </cell>
        </row>
        <row r="63">
          <cell r="A63" t="str">
            <v>1452014IUSEFor</v>
          </cell>
        </row>
        <row r="64">
          <cell r="A64" t="str">
            <v>1452014Università del Piemonte Orientale</v>
          </cell>
        </row>
        <row r="65">
          <cell r="A65" t="str">
            <v>1395362ASSOCIATION REGIONALE ELEVEURS VALDOTAINS</v>
          </cell>
        </row>
        <row r="66">
          <cell r="A66" t="str">
            <v>1486183ASSOCIATION REGIONALE ELEVEURS VALDOTAINS</v>
          </cell>
        </row>
        <row r="67">
          <cell r="A67" t="str">
            <v>1520619ASSOCIATION REGIONALE ELEVEURS VALDOTAINS</v>
          </cell>
        </row>
        <row r="68">
          <cell r="A68" t="str">
            <v>1469166BLU PROGETTI - S.R.L.</v>
          </cell>
        </row>
        <row r="69">
          <cell r="A69" t="str">
            <v>1469166VALCHIAVENNA</v>
          </cell>
        </row>
        <row r="70">
          <cell r="A70" t="str">
            <v>1469166Politecnico di Milano</v>
          </cell>
        </row>
        <row r="71">
          <cell r="A71" t="str">
            <v>1397751Provincia di Varese</v>
          </cell>
        </row>
        <row r="72">
          <cell r="A72" t="str">
            <v>1397751PROVINCIA DI COMO</v>
          </cell>
        </row>
        <row r="73">
          <cell r="A73" t="str">
            <v>1397751ARS AMBIENTE S.R.L.</v>
          </cell>
        </row>
        <row r="74">
          <cell r="A74" t="str">
            <v>1397751UNIVERSITA ' CARLO CATTANEO - LIUC</v>
          </cell>
        </row>
        <row r="75">
          <cell r="A75" t="str">
            <v>1228019Regione Lombardia</v>
          </cell>
        </row>
        <row r="76">
          <cell r="A76" t="str">
            <v>1228032FONDAZIONE POLITECNICO DI MILANO</v>
          </cell>
        </row>
        <row r="77">
          <cell r="A77" t="str">
            <v>1404358COMO</v>
          </cell>
        </row>
        <row r="78">
          <cell r="A78" t="str">
            <v>1404379Politecnico di Milano</v>
          </cell>
        </row>
        <row r="79">
          <cell r="A79" t="str">
            <v>1261659GALLARATE</v>
          </cell>
        </row>
        <row r="80">
          <cell r="A80" t="str">
            <v>1408513GALLARATE</v>
          </cell>
        </row>
        <row r="81">
          <cell r="A81" t="str">
            <v>1411347GALLARATE</v>
          </cell>
        </row>
        <row r="82">
          <cell r="A82" t="str">
            <v>1411576GALLARATE</v>
          </cell>
        </row>
        <row r="83">
          <cell r="A83" t="str">
            <v>1411673GALLARATE</v>
          </cell>
        </row>
        <row r="84">
          <cell r="A84" t="str">
            <v>1475877Università Cattolica del Sacro Cuore</v>
          </cell>
        </row>
        <row r="85">
          <cell r="A85" t="str">
            <v>1161412"TECHNOSPRINGS ITALIA S.R.L."</v>
          </cell>
        </row>
        <row r="86">
          <cell r="A86" t="str">
            <v>1161412Consiglio Nazionale delle Ricerche</v>
          </cell>
        </row>
        <row r="87">
          <cell r="A87" t="str">
            <v>1405441"TECHNOSPRINGS ITALIA S.R.L."</v>
          </cell>
        </row>
        <row r="88">
          <cell r="A88" t="str">
            <v>1405441Consiglio Nazionale delle Ricerche</v>
          </cell>
        </row>
        <row r="89">
          <cell r="A89" t="str">
            <v>1493092Università degli Studi dell'Insubria</v>
          </cell>
        </row>
        <row r="90">
          <cell r="A90" t="str">
            <v>1451171Ente per la Gestione del Parco Regionale di Montevecchia e della Valle del Curone</v>
          </cell>
        </row>
        <row r="91">
          <cell r="A91" t="str">
            <v>1451171CONSORZIO FORESTALE LARIO INTELVESE</v>
          </cell>
        </row>
        <row r="92">
          <cell r="A92" t="str">
            <v>1451171PARCO MONTE BARRO</v>
          </cell>
        </row>
        <row r="93">
          <cell r="A93" t="str">
            <v>1450721UNIONE MONTANA ALTA OSSOLA</v>
          </cell>
        </row>
        <row r="94">
          <cell r="A94" t="str">
            <v>1383036Università degli Studi dell'Insubria</v>
          </cell>
        </row>
        <row r="95">
          <cell r="A95" t="str">
            <v>1383036Università del Piemonte Orientale</v>
          </cell>
        </row>
        <row r="96">
          <cell r="A96" t="str">
            <v>1461355ENTE VILLA CARLOTTA</v>
          </cell>
        </row>
        <row r="97">
          <cell r="A97" t="str">
            <v>1344345CENTRO DI RICERCA E DOCUMENTAZIONE LUIGI EINAUDI</v>
          </cell>
        </row>
        <row r="98">
          <cell r="A98" t="str">
            <v>1344345FORMAZIONE INSERIMENTO LAVORATIVO ORIENTAMENTO SERVIZI SOCIETA'COOPERATIVA</v>
          </cell>
        </row>
        <row r="99">
          <cell r="A99" t="str">
            <v>1344345CONSORZIO INTERCOMUNALE SERVIZI SOCIALI OSSOLA</v>
          </cell>
        </row>
        <row r="100">
          <cell r="A100" t="str">
            <v>1476521CONSORZIO INTERCOMUNALE SERVIZI SOCIALI OSSOLA</v>
          </cell>
        </row>
        <row r="101">
          <cell r="A101" t="str">
            <v>1476521FORMAZIONE INSERIMENTO LAVORATIVO ORIENTAMENTO SERVIZI SOCIETA'COOPERATIVA</v>
          </cell>
        </row>
        <row r="102">
          <cell r="A102" t="str">
            <v>1483127Università degli Studi dell'Insubria</v>
          </cell>
        </row>
        <row r="103">
          <cell r="A103" t="str">
            <v>1450113Politecnico di Milano</v>
          </cell>
        </row>
        <row r="104">
          <cell r="A104" t="str">
            <v>1450113FONDAZIONE POLITECNICO DI MILANO</v>
          </cell>
        </row>
        <row r="105">
          <cell r="A105" t="str">
            <v>1380764Regione Autonoma Valle d'Aosta</v>
          </cell>
        </row>
        <row r="106">
          <cell r="A106" t="str">
            <v>1380764Agenzia regionale per la protezione dell'ambiente della Valle d'Aosta</v>
          </cell>
        </row>
        <row r="107">
          <cell r="A107" t="str">
            <v>1380764Fondazione Montagna sicura - Montagne sûre</v>
          </cell>
        </row>
        <row r="108">
          <cell r="A108" t="str">
            <v>1380764Institut Agricole Régional</v>
          </cell>
        </row>
        <row r="109">
          <cell r="A109" t="str">
            <v>1495102Comune di Macugnaga</v>
          </cell>
        </row>
        <row r="110">
          <cell r="A110" t="str">
            <v>1507212AZIENDA SOCIO SANITARIA TERRITORIALE DELLA VALTELLINA E DELL'ALTO LARIO</v>
          </cell>
        </row>
        <row r="111">
          <cell r="A111" t="str">
            <v>1453095Università degli Studi di Milano</v>
          </cell>
        </row>
        <row r="112">
          <cell r="A112" t="str">
            <v>1248245G.R.A.I.A. SRL GESTIONE E RICERCA AMBIENTALE ITTICA ACQUE</v>
          </cell>
        </row>
        <row r="113">
          <cell r="A113" t="str">
            <v>1453958Politecnico di Milano</v>
          </cell>
        </row>
        <row r="114">
          <cell r="A114" t="str">
            <v>1254036FONDAZIONE POLITECNICO DI MILANO</v>
          </cell>
        </row>
        <row r="115">
          <cell r="A115" t="str">
            <v>1254036Politecnico di Milano</v>
          </cell>
        </row>
        <row r="116">
          <cell r="A116" t="str">
            <v>1404532Politecnico di Milano</v>
          </cell>
        </row>
        <row r="117">
          <cell r="A117" t="str">
            <v>1404532FONDAZIONE POLITECNICO DI MILANO</v>
          </cell>
        </row>
        <row r="118">
          <cell r="A118" t="str">
            <v>1232145comune di Saint-Rhémy-en-Bosses</v>
          </cell>
        </row>
        <row r="119">
          <cell r="A119" t="str">
            <v>1403938Università degli Studi dell'Insubria</v>
          </cell>
        </row>
        <row r="120">
          <cell r="A120" t="str">
            <v>1403938PTSCLAS</v>
          </cell>
        </row>
        <row r="121">
          <cell r="A121" t="str">
            <v>1403938UNIVERSITA' CARLO CATTANEO - LIUC</v>
          </cell>
        </row>
        <row r="122">
          <cell r="A122" t="str">
            <v>1453283Provincia di Novara</v>
          </cell>
        </row>
        <row r="123">
          <cell r="A123" t="str">
            <v>1453815LUINO</v>
          </cell>
        </row>
        <row r="124">
          <cell r="A124" t="str">
            <v>1498150LUINO</v>
          </cell>
        </row>
        <row r="125">
          <cell r="A125" t="str">
            <v>1498204LUINO</v>
          </cell>
        </row>
        <row r="126">
          <cell r="A126" t="str">
            <v>1498229LUINO</v>
          </cell>
        </row>
        <row r="127">
          <cell r="A127" t="str">
            <v>1499255LUINO</v>
          </cell>
        </row>
        <row r="128">
          <cell r="A128" t="str">
            <v>1505355LUINO</v>
          </cell>
        </row>
        <row r="129">
          <cell r="A129" t="str">
            <v>1506945LUINO</v>
          </cell>
        </row>
        <row r="130">
          <cell r="A130" t="str">
            <v>1507844LUINO</v>
          </cell>
        </row>
        <row r="131">
          <cell r="A131" t="str">
            <v>1508475LUINO</v>
          </cell>
        </row>
        <row r="132">
          <cell r="A132" t="str">
            <v>1509016LUINO</v>
          </cell>
        </row>
        <row r="133">
          <cell r="A133" t="str">
            <v>1426352Agenzia del trasporto pubblico del bacino di Como, Lecco e Varese</v>
          </cell>
        </row>
        <row r="134">
          <cell r="A134" t="str">
            <v>1408656UNIVERSITA' CARLO CATTANEO - LIUC</v>
          </cell>
        </row>
        <row r="135">
          <cell r="A135" t="str">
            <v>1316605Camera di Commercio Industria Artigianato Agricoltura di Novara</v>
          </cell>
        </row>
        <row r="136">
          <cell r="A136" t="str">
            <v>1316605Camera di Commercio del Verbano Cusio Ossola</v>
          </cell>
        </row>
        <row r="137">
          <cell r="A137" t="str">
            <v>1393207Camera di Commercio Industria Artigianato Agricoltura di Novara</v>
          </cell>
        </row>
        <row r="138">
          <cell r="A138" t="str">
            <v>1393207Camera di Commercio del Verbano Cusio Ossola</v>
          </cell>
        </row>
        <row r="139">
          <cell r="A139" t="str">
            <v>1447547Camera di Commercio Industria Artigianato Agricoltura di Novara</v>
          </cell>
        </row>
        <row r="140">
          <cell r="A140" t="str">
            <v>1447547Camera di Commercio del Verbano Cusio Ossola</v>
          </cell>
        </row>
        <row r="141">
          <cell r="A141" t="str">
            <v>1210203Institut Agricole Régional</v>
          </cell>
        </row>
        <row r="142">
          <cell r="A142" t="str">
            <v>1259594Institut Agricole Régional</v>
          </cell>
        </row>
        <row r="143">
          <cell r="A143" t="str">
            <v>1390371Institut Agricole Régional</v>
          </cell>
        </row>
        <row r="144">
          <cell r="A144" t="str">
            <v>1476249DEMETRA SPECIALIST S.R.L.</v>
          </cell>
        </row>
        <row r="145">
          <cell r="A145" t="str">
            <v>1459619COMUNITA' MONTANA VALLI DEL LARIO E DEL CERESIO</v>
          </cell>
        </row>
        <row r="146">
          <cell r="A146" t="str">
            <v>1460114PROVINCIA DI LECCO</v>
          </cell>
        </row>
        <row r="147">
          <cell r="A147" t="str">
            <v>1480584MONTAGNE DEL LAGO DI COMO</v>
          </cell>
        </row>
        <row r="148">
          <cell r="A148" t="str">
            <v>1486193NORTH LAKE COMO ASSOCIAZIONE TURISMO E COMMERCIO ALTO LAGO DI COMO</v>
          </cell>
        </row>
        <row r="149">
          <cell r="A149" t="str">
            <v>1488222LECCO</v>
          </cell>
        </row>
        <row r="150">
          <cell r="A150" t="str">
            <v>1490251COMUNITA' MONTANA VALLI DEL LARIO E DEL CERESIO</v>
          </cell>
        </row>
        <row r="151">
          <cell r="A151" t="str">
            <v>1492982CONSORZIO PER LA PROMOZIONE TURISTICA DELLA VALCHIAVENNA</v>
          </cell>
        </row>
        <row r="152">
          <cell r="A152" t="str">
            <v>1322533Fondazione"Monastero Santa Maria del Lavello"</v>
          </cell>
        </row>
        <row r="153">
          <cell r="A153" t="str">
            <v>1458772COMUNITA' MONTANA VALSASSINA VALVARRONE VAL D'ESINO E RIVIERA</v>
          </cell>
        </row>
        <row r="154">
          <cell r="A154" t="str">
            <v>1481471Università Cattolica del Sacro Cuore</v>
          </cell>
        </row>
        <row r="155">
          <cell r="A155" t="str">
            <v>1458772Provincia di Lecco</v>
          </cell>
        </row>
        <row r="156">
          <cell r="A156" t="str">
            <v>1458772FONDAZIONE LUIGI CLERICI</v>
          </cell>
        </row>
        <row r="157">
          <cell r="A157" t="str">
            <v>1514382Institut Agricole Régional</v>
          </cell>
        </row>
        <row r="158">
          <cell r="A158" t="str">
            <v>1514382Links - LEADING INNOVATION &amp; KNOWLEDGE FOR SOCIETY            DELL'INFORMAZIONE E DELLE TELECOMUNICAZIONI</v>
          </cell>
        </row>
        <row r="159">
          <cell r="A159" t="str">
            <v>1409270Comune di Ollomont</v>
          </cell>
        </row>
        <row r="160">
          <cell r="A160" t="str">
            <v>1409270Comune di Valpelline</v>
          </cell>
        </row>
        <row r="161">
          <cell r="A161" t="str">
            <v>1409270UNITE DES COMMUNES VALDÔTAINES GRAND-COMBIN</v>
          </cell>
        </row>
        <row r="162">
          <cell r="A162" t="str">
            <v>1512681Comune di Valpelline</v>
          </cell>
        </row>
        <row r="163">
          <cell r="A163" t="str">
            <v>1601150ARS AMBIENTE S.R.L.</v>
          </cell>
        </row>
        <row r="164">
          <cell r="A164" t="str">
            <v>1506209ASSOCIAZIONE FORTE DI BARD</v>
          </cell>
        </row>
        <row r="165">
          <cell r="A165" t="str">
            <v>1460144COMUNITA' MONTANA DELLA VALCHIAVENNA</v>
          </cell>
        </row>
        <row r="166">
          <cell r="A166" t="str">
            <v>1643632FORMAZIONE INSERIMENTO LAVORATIVO ORIENTAMENTO SERVIZI SOCIETA'COOPERATIVA</v>
          </cell>
        </row>
        <row r="167">
          <cell r="A167" t="str">
            <v>1446369Provincia di Varese</v>
          </cell>
        </row>
        <row r="168">
          <cell r="A168" t="str">
            <v>1576401Università Cattolica del Sacro Cuore</v>
          </cell>
        </row>
        <row r="169">
          <cell r="A169" t="str">
            <v>1412051comune di Saint-Rhémy-en-Bosses</v>
          </cell>
        </row>
        <row r="170">
          <cell r="A170" t="str">
            <v>1412051Fondazione Montagna sicura - Montagne sûre</v>
          </cell>
        </row>
        <row r="171">
          <cell r="A171" t="str">
            <v>1203057RSA MASSIMO LAGOSTINA ONLUS</v>
          </cell>
        </row>
        <row r="172">
          <cell r="A172" t="str">
            <v>1203057Fondazione Opera Pia Dr. Domenico Uccelli Onlus</v>
          </cell>
        </row>
        <row r="173">
          <cell r="A173" t="str">
            <v>1520348Comune di Macugnaga</v>
          </cell>
        </row>
        <row r="174">
          <cell r="A174" t="str">
            <v>1667369Consiglio Nazionale delle Ricerche</v>
          </cell>
        </row>
        <row r="175">
          <cell r="A175" t="str">
            <v>1659524LARIOINTELVESE</v>
          </cell>
        </row>
        <row r="176">
          <cell r="A176" t="str">
            <v>1659524Comune di Centro Valle Intelvi</v>
          </cell>
        </row>
        <row r="177">
          <cell r="A177" t="str">
            <v>1486150ASSOCIATION REGIONALE ELEVEURS VALDOTAINS</v>
          </cell>
        </row>
        <row r="178">
          <cell r="A178" t="str">
            <v>1689255ARS AMBIENTE S.R.L.</v>
          </cell>
        </row>
        <row r="179">
          <cell r="A179" t="str">
            <v>1689255Provincia di Varese</v>
          </cell>
        </row>
        <row r="180">
          <cell r="A180" t="str">
            <v>1460681S.C.R.L. (SOCIETA' CONSORTILE A RESPONSABILITA' LIMITATA) DENOMI NATA DISTRETTO TURISTICO DEI LAGHI - SOCIETA' CONSORTILE A RESPONSABILITA' LIMITATA</v>
          </cell>
        </row>
        <row r="181">
          <cell r="A181" t="str">
            <v>1460681Provincia del Verbano Cusio Ossola</v>
          </cell>
        </row>
        <row r="182">
          <cell r="A182" t="str">
            <v>1504887UNIONE MONTANA VALLE VIGEZZO</v>
          </cell>
        </row>
        <row r="183">
          <cell r="A183" t="str">
            <v>1685662CENTRO DI RICERCA E DOCUMENTAZIONE LUIGI EINAUDI</v>
          </cell>
        </row>
        <row r="184">
          <cell r="A184" t="str">
            <v>1666316LANZO D'INTELVI 1868 S.R.L.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 generale"/>
      <sheetName val="Foglio1"/>
      <sheetName val="Foglio2"/>
      <sheetName val="PF IT rimodulato riprogrammato"/>
      <sheetName val="Foglio3"/>
      <sheetName val="Foglio4"/>
    </sheetNames>
    <sheetDataSet>
      <sheetData sheetId="0"/>
      <sheetData sheetId="1"/>
      <sheetData sheetId="2">
        <row r="1">
          <cell r="A1" t="str">
            <v>1159528Provincia di Lecco</v>
          </cell>
        </row>
        <row r="2">
          <cell r="A2" t="str">
            <v>1161412"TECHNOSPRINGS ITALIA S.R.L."</v>
          </cell>
        </row>
        <row r="3">
          <cell r="A3" t="str">
            <v>1161412Consiglio Nazionale delle Ricerche</v>
          </cell>
        </row>
        <row r="4">
          <cell r="A4" t="str">
            <v>1203057Fondazione Opera Pia Dr. Domenico Uccelli Onlus</v>
          </cell>
        </row>
        <row r="5">
          <cell r="A5" t="str">
            <v>1203057RSA MASSIMO LAGOSTINA ONLUS</v>
          </cell>
        </row>
        <row r="6">
          <cell r="A6" t="str">
            <v>1207108FONDAZIONE NUOVO TEATRO FARAGGIANA</v>
          </cell>
        </row>
        <row r="7">
          <cell r="A7" t="str">
            <v>1210203Institut Agricole Régional</v>
          </cell>
        </row>
        <row r="8">
          <cell r="A8" t="str">
            <v>1228019Regione Lombardia</v>
          </cell>
        </row>
        <row r="9">
          <cell r="A9" t="str">
            <v>1228032FONDAZIONE POLITECNICO DI MILANO</v>
          </cell>
        </row>
        <row r="10">
          <cell r="A10" t="str">
            <v>1232145comune di Saint-Rhémy-en-Bosses</v>
          </cell>
        </row>
        <row r="11">
          <cell r="A11" t="str">
            <v>1248245G.R.A.I.A. SRL GESTIONE E RICERCA AMBIENTALE ITTICA ACQUE</v>
          </cell>
        </row>
        <row r="12">
          <cell r="A12" t="str">
            <v>1254036FONDAZIONE POLITECNICO DI MILANO</v>
          </cell>
        </row>
        <row r="13">
          <cell r="A13" t="str">
            <v>1254036Politecnico di Milano</v>
          </cell>
        </row>
        <row r="14">
          <cell r="A14" t="str">
            <v>1259594Institut Agricole Régional</v>
          </cell>
        </row>
        <row r="15">
          <cell r="A15" t="str">
            <v>1261659GALLARATE</v>
          </cell>
        </row>
        <row r="16">
          <cell r="A16" t="str">
            <v>1269167IDM Suedtirol - Alto Adige</v>
          </cell>
        </row>
        <row r="17">
          <cell r="A17" t="str">
            <v>1269167EURAC research - Istituto per le Energie Rinnovabili</v>
          </cell>
        </row>
        <row r="18">
          <cell r="A18" t="str">
            <v>1269167Agenzia per l'Energia Alto Adige - CasaClima</v>
          </cell>
        </row>
        <row r="19">
          <cell r="A19" t="str">
            <v>1282320APTSOL SOCIETA' A RESPONSABILITA' LIMITATA SEMPLIFICATA</v>
          </cell>
        </row>
        <row r="20">
          <cell r="A20" t="str">
            <v>1282320DAYMED SRL</v>
          </cell>
        </row>
        <row r="21">
          <cell r="A21" t="str">
            <v>1282320Università del Piemonte Orientale</v>
          </cell>
        </row>
        <row r="22">
          <cell r="A22" t="str">
            <v>1316605Camera di Commercio del Verbano Cusio Ossola</v>
          </cell>
        </row>
        <row r="23">
          <cell r="A23" t="str">
            <v>1316605Camera di Commercio Industria Artigianato Agricoltura di Novara</v>
          </cell>
        </row>
        <row r="24">
          <cell r="A24" t="str">
            <v>1321273Regione Lombardia</v>
          </cell>
        </row>
        <row r="25">
          <cell r="A25" t="str">
            <v>1322533Fondazione"Monastero Santa Maria del Lavello"</v>
          </cell>
        </row>
        <row r="26">
          <cell r="A26" t="str">
            <v>1331921NOI S.P.A. % NOI A.G.</v>
          </cell>
        </row>
        <row r="27">
          <cell r="A27" t="str">
            <v>1331921SASA (Società Autobus Servizi d'Area)</v>
          </cell>
        </row>
        <row r="28">
          <cell r="A28" t="str">
            <v>1331921Comune di Merano</v>
          </cell>
        </row>
        <row r="29">
          <cell r="A29" t="str">
            <v>1344345CENTRO DI RICERCA E DOCUMENTAZIONE LUIGI EINAUDI</v>
          </cell>
        </row>
        <row r="30">
          <cell r="A30" t="str">
            <v>1344345CONSORZIO INTERCOMUNALE SERVIZI SOCIALI OSSOLA</v>
          </cell>
        </row>
        <row r="31">
          <cell r="A31" t="str">
            <v>1344345FORMAZIONE INSERIMENTO LAVORATIVO ORIENTAMENTO SERVIZI SOCIETA'COOPERATIVA</v>
          </cell>
        </row>
        <row r="32">
          <cell r="A32" t="str">
            <v>1372359GALLARATE</v>
          </cell>
        </row>
        <row r="33">
          <cell r="A33" t="str">
            <v>1380764Agenzia regionale per la protezione dell'ambiente della Valle d'Aosta</v>
          </cell>
        </row>
        <row r="34">
          <cell r="A34" t="str">
            <v>1380764Institut Agricole Régional</v>
          </cell>
        </row>
        <row r="35">
          <cell r="A35" t="str">
            <v>1380764Fondazione Montagna sicura - Montagne sûre</v>
          </cell>
        </row>
        <row r="36">
          <cell r="A36" t="str">
            <v>1380764Regione Autonoma Valle d'Aosta</v>
          </cell>
        </row>
        <row r="37">
          <cell r="A37" t="str">
            <v>1380764Regione Autonoma Valle d'Aosta</v>
          </cell>
        </row>
        <row r="38">
          <cell r="A38" t="str">
            <v>1383036Università del Piemonte Orientale</v>
          </cell>
        </row>
        <row r="39">
          <cell r="A39" t="str">
            <v>1383036Università degli Studi dell'Insubria</v>
          </cell>
        </row>
        <row r="40">
          <cell r="A40" t="str">
            <v>1384281ENTE PARCO REGIONALE CAMPO DEI FIORI</v>
          </cell>
        </row>
        <row r="41">
          <cell r="A41" t="str">
            <v>1385474APTSOL SOCIETA' A RESPONSABILITA' LIMITATA SEMPLIFICATA</v>
          </cell>
        </row>
        <row r="42">
          <cell r="A42" t="str">
            <v>1385474Università del Piemonte Orientale</v>
          </cell>
        </row>
        <row r="43">
          <cell r="A43" t="str">
            <v>1390371Institut Agricole Régional</v>
          </cell>
        </row>
        <row r="44">
          <cell r="A44" t="str">
            <v>1393207Camera di Commercio del Verbano Cusio Ossola</v>
          </cell>
        </row>
        <row r="45">
          <cell r="A45" t="str">
            <v>1393207Camera di Commercio Industria Artigianato Agricoltura di Novara</v>
          </cell>
        </row>
        <row r="46">
          <cell r="A46" t="str">
            <v>1395362ASSOCIATION REGIONALE ELEVEURS VALDOTAINS</v>
          </cell>
        </row>
        <row r="47">
          <cell r="A47" t="str">
            <v>1396547GALLARATE</v>
          </cell>
        </row>
        <row r="48">
          <cell r="A48" t="str">
            <v>1397751Provincia di Varese</v>
          </cell>
        </row>
        <row r="49">
          <cell r="A49" t="str">
            <v>1397751UNIVERSITA ' CARLO CATTANEO - LIUC</v>
          </cell>
        </row>
        <row r="50">
          <cell r="A50" t="str">
            <v>1397751ARS AMBIENTE S.R.L.</v>
          </cell>
        </row>
        <row r="51">
          <cell r="A51" t="str">
            <v>1397751PROVINCIA DI COMO</v>
          </cell>
        </row>
        <row r="52">
          <cell r="A52" t="str">
            <v>1402805EUROPAEISCHE AKADEMIE BOZEN AUF ITALIENISCH "ACCADEMIA EUROPEA  DI BOLZANO " AUF LADINISCH "ACADEMIA EUROPEICA BULSAN" AUF ENGLISCH "EUROPEAN ACADEMY OF BOZEN-BOLZANO"</v>
          </cell>
        </row>
        <row r="53">
          <cell r="A53" t="str">
            <v>1403909ATS DELLA BRIANZA</v>
          </cell>
        </row>
        <row r="54">
          <cell r="A54" t="str">
            <v>1403909Need Institute</v>
          </cell>
        </row>
        <row r="55">
          <cell r="A55" t="str">
            <v>1403909CENTRO RICERCA ARTE MUSICA SPETTACOLO SOCIETA' COOPERATIVA SOCIAL IN MODO ABBREVIATO CRAMS</v>
          </cell>
        </row>
        <row r="56">
          <cell r="A56" t="str">
            <v>1403938Università degli Studi dell'Insubria</v>
          </cell>
        </row>
        <row r="57">
          <cell r="A57" t="str">
            <v>1403938UNIVERSITA' CARLO CATTANEO - LIUC</v>
          </cell>
        </row>
        <row r="58">
          <cell r="A58" t="str">
            <v>1403938PTSCLAS</v>
          </cell>
        </row>
        <row r="59">
          <cell r="A59" t="str">
            <v>1404358COMO</v>
          </cell>
        </row>
        <row r="60">
          <cell r="A60" t="str">
            <v>1404365Agenzia per l'Energia Alto Adige - CasaClima</v>
          </cell>
        </row>
        <row r="61">
          <cell r="A61" t="str">
            <v>1404365IDM Suedtirol - Alto Adige</v>
          </cell>
        </row>
        <row r="62">
          <cell r="A62" t="str">
            <v>1404365EURAC research - Istituto per le Energie Rinnovabili</v>
          </cell>
        </row>
        <row r="63">
          <cell r="A63" t="str">
            <v>1404379Politecnico di Milano</v>
          </cell>
        </row>
        <row r="64">
          <cell r="A64" t="str">
            <v>1404436Fondazione Bruno Kessler</v>
          </cell>
        </row>
        <row r="65">
          <cell r="A65" t="str">
            <v>1404436Politecnico di Milano</v>
          </cell>
        </row>
        <row r="66">
          <cell r="A66" t="str">
            <v>1404532Politecnico di Milano</v>
          </cell>
        </row>
        <row r="67">
          <cell r="A67" t="str">
            <v>1404532FONDAZIONE POLITECNICO DI MILANO</v>
          </cell>
        </row>
        <row r="68">
          <cell r="A68" t="str">
            <v>1404572Università degli Studi di Milano</v>
          </cell>
        </row>
        <row r="69">
          <cell r="A69" t="str">
            <v>1404572PIURO</v>
          </cell>
        </row>
        <row r="70">
          <cell r="A70" t="str">
            <v>1404572Politecnico di Milano</v>
          </cell>
        </row>
        <row r="71">
          <cell r="A71" t="str">
            <v>1404572VALCHIAVENNA</v>
          </cell>
        </row>
        <row r="72">
          <cell r="A72" t="str">
            <v>1404572Associazione Italo Svizzera per gli Scavi di Piuro</v>
          </cell>
        </row>
        <row r="73">
          <cell r="A73" t="str">
            <v>1404572FONDAZIONE POLITECNICO DI MILANO</v>
          </cell>
        </row>
        <row r="74">
          <cell r="A74" t="str">
            <v>1404572Regione Lombardia</v>
          </cell>
        </row>
        <row r="75">
          <cell r="A75" t="str">
            <v>1405441Consiglio Nazionale delle Ricerche</v>
          </cell>
        </row>
        <row r="76">
          <cell r="A76" t="str">
            <v>1405441"TECHNOSPRINGS ITALIA S.R.L."</v>
          </cell>
        </row>
        <row r="77">
          <cell r="A77" t="str">
            <v>1406520Università Commerciale Luigi Bocconi</v>
          </cell>
        </row>
        <row r="78">
          <cell r="A78" t="str">
            <v>1408513GALLARATE</v>
          </cell>
        </row>
        <row r="79">
          <cell r="A79" t="str">
            <v>1408656UNIVERSITA' CARLO CATTANEO - LIUC</v>
          </cell>
        </row>
        <row r="80">
          <cell r="A80" t="str">
            <v>1409259GALLARATE</v>
          </cell>
        </row>
        <row r="81">
          <cell r="A81" t="str">
            <v>1409270UNITE DES COMMUNES VALDÔTAINES GRAND-COMBIN</v>
          </cell>
        </row>
        <row r="82">
          <cell r="A82" t="str">
            <v>1409270Comune di Valpelline</v>
          </cell>
        </row>
        <row r="83">
          <cell r="A83" t="str">
            <v>1409270Comune di Ollomont</v>
          </cell>
        </row>
        <row r="84">
          <cell r="A84" t="str">
            <v>1409732Comunità comprensoriale Val Venosta</v>
          </cell>
        </row>
        <row r="85">
          <cell r="A85" t="str">
            <v>1411347GALLARATE</v>
          </cell>
        </row>
        <row r="86">
          <cell r="A86" t="str">
            <v>1411576GALLARATE</v>
          </cell>
        </row>
        <row r="87">
          <cell r="A87" t="str">
            <v>1411673GALLARATE</v>
          </cell>
        </row>
        <row r="88">
          <cell r="A88" t="str">
            <v>1412051comune di Saint-Rhémy-en-Bosses</v>
          </cell>
        </row>
        <row r="89">
          <cell r="A89" t="str">
            <v>1412051Fondazione Montagna sicura - Montagne sûre</v>
          </cell>
        </row>
        <row r="90">
          <cell r="A90" t="str">
            <v>1413510Comunità comprensoriale Val Venosta</v>
          </cell>
        </row>
        <row r="91">
          <cell r="A91" t="str">
            <v>1426352Agenzia del trasporto pubblico del bacino di Como, Lecco e Varese</v>
          </cell>
        </row>
        <row r="92">
          <cell r="A92" t="str">
            <v>1446369Provincia di Varese</v>
          </cell>
        </row>
        <row r="93">
          <cell r="A93" t="str">
            <v>1446369ALFA S.R.L.</v>
          </cell>
        </row>
        <row r="94">
          <cell r="A94" t="str">
            <v>1447547Camera di Commercio del Verbano Cusio Ossola</v>
          </cell>
        </row>
        <row r="95">
          <cell r="A95" t="str">
            <v>1447547Camera di Commercio Industria Artigianato Agricoltura di Novara</v>
          </cell>
        </row>
        <row r="96">
          <cell r="A96" t="str">
            <v>1450113FONDAZIONE POLITECNICO DI MILANO</v>
          </cell>
        </row>
        <row r="97">
          <cell r="A97" t="str">
            <v>1450113Politecnico di Milano</v>
          </cell>
        </row>
        <row r="98">
          <cell r="A98" t="str">
            <v>1450721UNIONE MONTANA ALTA OSSOLA</v>
          </cell>
        </row>
        <row r="99">
          <cell r="A99" t="str">
            <v>1451171Ente per la Gestione del Parco Regionale di Montevecchia e della Valle del Curone</v>
          </cell>
        </row>
        <row r="100">
          <cell r="A100" t="str">
            <v>1451171CONSORZIO FORESTALE LARIO INTELVESE</v>
          </cell>
        </row>
        <row r="101">
          <cell r="A101" t="str">
            <v>1451171PARCO MONTE BARRO</v>
          </cell>
        </row>
        <row r="102">
          <cell r="A102" t="str">
            <v>1452014FONDAZIONE NUOVO TEATRO FARAGGIANA</v>
          </cell>
        </row>
        <row r="103">
          <cell r="A103" t="str">
            <v>1452014Associazione Didee - arti e comunicazione</v>
          </cell>
        </row>
        <row r="104">
          <cell r="A104" t="str">
            <v>1452014OLTRE LE QUINTE A.P.S.</v>
          </cell>
        </row>
        <row r="105">
          <cell r="A105" t="str">
            <v>1452014IUSEFor</v>
          </cell>
        </row>
        <row r="106">
          <cell r="A106" t="str">
            <v>1452014Università del Piemonte Orientale</v>
          </cell>
        </row>
        <row r="107">
          <cell r="A107" t="str">
            <v>1453095Università degli Studi di Milano</v>
          </cell>
        </row>
        <row r="108">
          <cell r="A108" t="str">
            <v>1453095LARIOINTELVESE</v>
          </cell>
        </row>
        <row r="109">
          <cell r="A109" t="str">
            <v>1453283Provincia di Novara</v>
          </cell>
        </row>
        <row r="110">
          <cell r="A110" t="str">
            <v>1453815LUINO</v>
          </cell>
        </row>
        <row r="111">
          <cell r="A111" t="str">
            <v>1453958Politecnico di Milano</v>
          </cell>
        </row>
        <row r="112">
          <cell r="A112" t="str">
            <v>1458772FONDAZIONE LUIGI CLERICI</v>
          </cell>
        </row>
        <row r="113">
          <cell r="A113" t="str">
            <v>1458772Provincia di Lecco</v>
          </cell>
        </row>
        <row r="114">
          <cell r="A114" t="str">
            <v>1458772COMUNITA' MONTANA VALSASSINA VALVARRONE VAL D'ESINO E RIVIERA</v>
          </cell>
        </row>
        <row r="115">
          <cell r="A115" t="str">
            <v>1459619COMUNITA' MONTANA VALLI DEL LARIO E DEL CERESIO</v>
          </cell>
        </row>
        <row r="116">
          <cell r="A116" t="str">
            <v>1460114PROVINCIA DI LECCO</v>
          </cell>
        </row>
        <row r="117">
          <cell r="A117" t="str">
            <v>1460144COMUNITA' MONTANA DELLA VALCHIAVENNA</v>
          </cell>
        </row>
        <row r="118">
          <cell r="A118" t="str">
            <v>1460822FONDAZIONE POLITECNICO DI MILANO</v>
          </cell>
        </row>
        <row r="119">
          <cell r="A119" t="str">
            <v>1461161LANZADA</v>
          </cell>
        </row>
        <row r="120">
          <cell r="A120" t="str">
            <v>1461161CASPOGGIO</v>
          </cell>
        </row>
        <row r="121">
          <cell r="A121" t="str">
            <v>1461161Università degli Studi di Milano</v>
          </cell>
        </row>
        <row r="122">
          <cell r="A122" t="str">
            <v>1461161TORRE DI SANTA MARIA</v>
          </cell>
        </row>
        <row r="123">
          <cell r="A123" t="str">
            <v>1461161CONSORZIO TURISTICO DEL MANDAMENTO DI SONDRIO</v>
          </cell>
        </row>
        <row r="124">
          <cell r="A124" t="str">
            <v>1461355ENTE VILLA CARLOTTA</v>
          </cell>
        </row>
        <row r="125">
          <cell r="A125" t="str">
            <v>1468280NOI S.P.A. % NOI A.G.</v>
          </cell>
        </row>
        <row r="126">
          <cell r="A126" t="str">
            <v>1469166VALCHIAVENNA</v>
          </cell>
        </row>
        <row r="127">
          <cell r="A127" t="str">
            <v>1469166BLU PROGETTI - S.R.L.</v>
          </cell>
        </row>
        <row r="128">
          <cell r="A128" t="str">
            <v>1475877Università Cattolica del Sacro Cuore</v>
          </cell>
        </row>
        <row r="129">
          <cell r="A129" t="str">
            <v>1476249Comune di Bolzano</v>
          </cell>
        </row>
        <row r="130">
          <cell r="A130" t="str">
            <v>1476249DEMETRA SPECIALIST S.R.L.</v>
          </cell>
        </row>
        <row r="131">
          <cell r="A131" t="str">
            <v>1476249R3 GIS S.R.L.</v>
          </cell>
        </row>
        <row r="132">
          <cell r="A132" t="str">
            <v>1476521CONSORZIO INTERCOMUNALE SERVIZI SOCIALI OSSOLA</v>
          </cell>
        </row>
        <row r="133">
          <cell r="A133" t="str">
            <v>1476521FORMAZIONE INSERIMENTO LAVORATIVO ORIENTAMENTO SERVIZI SOCIETA'COOPERATIVA</v>
          </cell>
        </row>
        <row r="134">
          <cell r="A134" t="str">
            <v>1480584MONTAGNE DEL LAGO DI COMO</v>
          </cell>
        </row>
        <row r="135">
          <cell r="A135" t="str">
            <v>1481471Università Cattolica del Sacro Cuore</v>
          </cell>
        </row>
        <row r="136">
          <cell r="A136" t="str">
            <v>1483127Università degli Studi dell'Insubria</v>
          </cell>
        </row>
        <row r="137">
          <cell r="A137" t="str">
            <v>1486150ASSOCIATION REGIONALE ELEVEURS VALDOTAINS</v>
          </cell>
        </row>
        <row r="138">
          <cell r="A138" t="str">
            <v>1486183ASSOCIATION REGIONALE ELEVEURS VALDOTAINS</v>
          </cell>
        </row>
        <row r="139">
          <cell r="A139" t="str">
            <v>1486193NORTH LAKE COMO ASSOCIAZIONE TURISMO E COMMERCIO ALTO LAGO DI COMO</v>
          </cell>
        </row>
        <row r="140">
          <cell r="A140" t="str">
            <v>1488222LECCO</v>
          </cell>
        </row>
        <row r="141">
          <cell r="A141" t="str">
            <v>1490251COMUNITA' MONTANA VALLI DEL LARIO E DEL CERESIO</v>
          </cell>
        </row>
        <row r="142">
          <cell r="A142" t="str">
            <v>1492982CONSORZIO PER LA PROMOZIONE TURISTICA DELLA VALCHIAVENNA</v>
          </cell>
        </row>
        <row r="143">
          <cell r="A143" t="str">
            <v>1493092Università degli Studi dell'Insubria</v>
          </cell>
        </row>
        <row r="144">
          <cell r="A144" t="str">
            <v>1495102Comune di Macugnaga</v>
          </cell>
        </row>
        <row r="145">
          <cell r="A145" t="str">
            <v>1498150LUINO</v>
          </cell>
        </row>
        <row r="146">
          <cell r="A146" t="str">
            <v>1498204LUINO</v>
          </cell>
        </row>
        <row r="147">
          <cell r="A147" t="str">
            <v>1498229LUINO</v>
          </cell>
        </row>
        <row r="148">
          <cell r="A148" t="str">
            <v>1499255LUINO</v>
          </cell>
        </row>
        <row r="149">
          <cell r="A149" t="str">
            <v>1505355LUINO</v>
          </cell>
        </row>
        <row r="150">
          <cell r="A150" t="str">
            <v>1506209ASSOCIAZIONE FORTE DI BARD</v>
          </cell>
        </row>
        <row r="151">
          <cell r="A151" t="str">
            <v>1506945LUINO</v>
          </cell>
        </row>
        <row r="152">
          <cell r="A152" t="str">
            <v>1507212AZIENDA SOCIO SANITARIA TERRITORIALE DELLA VALTELLINA E DELL'ALTO LARIO</v>
          </cell>
        </row>
        <row r="153">
          <cell r="A153" t="str">
            <v>1507844LUINO</v>
          </cell>
        </row>
        <row r="154">
          <cell r="A154" t="str">
            <v>1508475LUINO</v>
          </cell>
        </row>
        <row r="155">
          <cell r="A155" t="str">
            <v>1509016LUINO</v>
          </cell>
        </row>
        <row r="156">
          <cell r="A156" t="str">
            <v>1512681Comune di Valpelline</v>
          </cell>
        </row>
        <row r="157">
          <cell r="A157" t="str">
            <v>1514382Institut Agricole Régional</v>
          </cell>
        </row>
        <row r="158">
          <cell r="A158" t="str">
            <v>1514382Links - LEADING INNOVATION &amp; KNOWLEDGE FOR SOCIETY            DELL'INFORMAZIONE E DELLE TELECOMUNICAZIONI</v>
          </cell>
        </row>
        <row r="159">
          <cell r="A159" t="str">
            <v>1520348Comune di Macugnaga</v>
          </cell>
        </row>
        <row r="160">
          <cell r="A160" t="str">
            <v>1520619ASSOCIATION REGIONALE ELEVEURS VALDOTAINS</v>
          </cell>
        </row>
        <row r="161">
          <cell r="A161" t="str">
            <v>1576401Università Cattolica del Sacro Cuore</v>
          </cell>
        </row>
        <row r="162">
          <cell r="A162" t="str">
            <v>1601150ARS AMBIENTE S.R.L.</v>
          </cell>
        </row>
        <row r="163">
          <cell r="A163" t="str">
            <v>1643632FORMAZIONE INSERIMENTO LAVORATIVO ORIENTAMENTO SERVIZI SOCIETA'COOPERATIVA</v>
          </cell>
        </row>
        <row r="164">
          <cell r="A164" t="str">
            <v>1659524Comune di Centro Valle Intelvi</v>
          </cell>
        </row>
        <row r="165">
          <cell r="A165" t="str">
            <v>1659524LARIOINTELVESE</v>
          </cell>
        </row>
        <row r="166">
          <cell r="A166" t="str">
            <v>1667369Consiglio Nazionale delle Ricerche</v>
          </cell>
        </row>
        <row r="167">
          <cell r="A167" t="str">
            <v>1689255ARS AMBIENTE S.R.L.</v>
          </cell>
        </row>
        <row r="168">
          <cell r="A168" t="str">
            <v>1689255Provincia di Varese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Assi 1-5 finiti"/>
      <sheetName val="Foglio2"/>
      <sheetName val="Foglio3"/>
      <sheetName val="Foglio4"/>
      <sheetName val="Foglio6"/>
      <sheetName val="Foglio8"/>
    </sheetNames>
    <sheetDataSet>
      <sheetData sheetId="0" refreshError="1"/>
      <sheetData sheetId="1"/>
      <sheetData sheetId="2">
        <row r="2">
          <cell r="A2" t="str">
            <v>1316605Camera di Commercio del Verbano Cusio Ossola</v>
          </cell>
        </row>
        <row r="3">
          <cell r="A3" t="str">
            <v>1316605Camera di Commercio Industria Artigianato Agricoltura di Novara</v>
          </cell>
        </row>
        <row r="4">
          <cell r="A4" t="str">
            <v>1409270UNITE DES COMMUNES VALDÔTAINES GRAND-COMBIN</v>
          </cell>
        </row>
        <row r="5">
          <cell r="A5" t="str">
            <v>1390371Institut Agricole Régional</v>
          </cell>
        </row>
        <row r="6">
          <cell r="A6" t="str">
            <v>1450721UNIONE MONTANA ALTA OSSOLA</v>
          </cell>
        </row>
        <row r="7">
          <cell r="A7" t="str">
            <v>1460681S.C.R.L. (SOCIETA' CONSORTILE A RESPONSABILITA' LIMITATA) DENOMI NATA DISTRETTO TURISTICO DEI LAGHI - SOCIETA' CONSORTILE A RESPONSABILITA' LIMITATA</v>
          </cell>
        </row>
        <row r="8">
          <cell r="A8" t="str">
            <v>1460681Provincia del Verbano Cusio Ossola</v>
          </cell>
        </row>
        <row r="9">
          <cell r="A9" t="str">
            <v>1253349Fondation Grand Paradis</v>
          </cell>
        </row>
        <row r="10">
          <cell r="A10" t="str">
            <v>1253349Comune di Saint-Marcel</v>
          </cell>
        </row>
        <row r="11">
          <cell r="A11" t="str">
            <v>1253349Comune di Introd</v>
          </cell>
        </row>
        <row r="12">
          <cell r="A12" t="str">
            <v>1203057FONDAZIONE ISTITUTO SACRA FAMIGLIA ONLUS</v>
          </cell>
        </row>
        <row r="13">
          <cell r="A13" t="str">
            <v>1203057RSA MASSIMO LAGOSTINA ONLUS</v>
          </cell>
        </row>
        <row r="14">
          <cell r="A14" t="str">
            <v>1203057Fondazione Opera Pia Dr. Domenico Uccelli Onlus</v>
          </cell>
        </row>
        <row r="15">
          <cell r="A15" t="str">
            <v>1261659ANFFAS LOMBARDIA ONLUS</v>
          </cell>
        </row>
        <row r="16">
          <cell r="A16" t="str">
            <v>1161412Consiglio Nazionale delle Ricerche</v>
          </cell>
        </row>
        <row r="17">
          <cell r="A17" t="str">
            <v>1262654FONDAZIONE POLITECNICO DI MILANO</v>
          </cell>
        </row>
        <row r="18">
          <cell r="A18" t="str">
            <v>1254036Politecnico di Milano</v>
          </cell>
        </row>
        <row r="19">
          <cell r="A19" t="str">
            <v>1254036Consiglio Nazionale delle Ricerche</v>
          </cell>
        </row>
        <row r="20">
          <cell r="A20" t="str">
            <v>1254036FONDAZIONE POLITECNICO DI MILANO</v>
          </cell>
        </row>
        <row r="21">
          <cell r="A21" t="str">
            <v>1273447LUINO</v>
          </cell>
        </row>
        <row r="22">
          <cell r="A22" t="str">
            <v>1259594Institut Agricole Régional</v>
          </cell>
        </row>
        <row r="23">
          <cell r="A23" t="str">
            <v>1232145comune di Saint-Rhémy-en-Bosses</v>
          </cell>
        </row>
        <row r="24">
          <cell r="A24" t="str">
            <v>1266407Camera di Commercio del Verbano Cusio Ossola</v>
          </cell>
        </row>
        <row r="25">
          <cell r="A25" t="str">
            <v>1210203Institut Agricole Régional</v>
          </cell>
        </row>
        <row r="26">
          <cell r="A26" t="str">
            <v>1161258Provincia di Lecco</v>
          </cell>
        </row>
        <row r="27">
          <cell r="A27" t="str">
            <v>1160998CENTRO RICERCA ARTE MUSICA SPETTACOLO SOCIETA' COOPERATIVA SOCIAL IN MODO ABBREVIATO CRAMS</v>
          </cell>
        </row>
        <row r="28">
          <cell r="A28" t="str">
            <v>1160998Need Institute</v>
          </cell>
        </row>
        <row r="29">
          <cell r="A29" t="str">
            <v>1159528Provincia di Lecco</v>
          </cell>
        </row>
        <row r="30">
          <cell r="A30" t="str">
            <v>1176638Università del Piemonte Orientale</v>
          </cell>
        </row>
        <row r="31">
          <cell r="A31" t="str">
            <v>1184007Camera di Commercio Como-Lecco</v>
          </cell>
        </row>
        <row r="32">
          <cell r="A32" t="str">
            <v>1170248LECCO</v>
          </cell>
        </row>
        <row r="33">
          <cell r="A33" t="str">
            <v>1161478Università del Piemonte Orientale</v>
          </cell>
        </row>
        <row r="34">
          <cell r="A34" t="str">
            <v>1161478Università degli Studi dell'Insubria</v>
          </cell>
        </row>
        <row r="35">
          <cell r="A35" t="str">
            <v>1181441GALLARATE</v>
          </cell>
        </row>
        <row r="36">
          <cell r="A36" t="str">
            <v>1190374Regione Lombardia</v>
          </cell>
        </row>
        <row r="37">
          <cell r="A37" t="str">
            <v>1190374FONDAZIONE POLITECNICO DI MILANO</v>
          </cell>
        </row>
        <row r="38">
          <cell r="A38" t="str">
            <v>1190374Arpa Piemonte</v>
          </cell>
        </row>
        <row r="39">
          <cell r="A39" t="str">
            <v>1279463Politecnico di Milano</v>
          </cell>
        </row>
        <row r="40">
          <cell r="A40" t="str">
            <v>1305496COOPERATIVA SOCIALE SIM-PATIA - SOCIETA' COOPERATIVA</v>
          </cell>
        </row>
        <row r="41">
          <cell r="A41" t="str">
            <v>1305496IL SENTIERO SOCIETA' COOPERATIVA SOCIALE</v>
          </cell>
        </row>
        <row r="42">
          <cell r="A42" t="str">
            <v>1305496LA CLESSIDRA SOCIETA' COOPERATIVA SOCIALE</v>
          </cell>
        </row>
        <row r="43">
          <cell r="A43" t="str">
            <v>1294499LECCO</v>
          </cell>
        </row>
        <row r="44">
          <cell r="A44" t="str">
            <v>1294499COMUNITA' MONTANA LARIO ORIENTALE - VALLE SAN MARTINO</v>
          </cell>
        </row>
        <row r="45">
          <cell r="A45" t="str">
            <v>1282320Università del Piemonte Orientale</v>
          </cell>
        </row>
        <row r="46">
          <cell r="A46" t="str">
            <v>1244182Università degli Studi di Milano</v>
          </cell>
        </row>
        <row r="47">
          <cell r="A47" t="str">
            <v>1207108FONDAZIONE NUOVO TEATRO FARAGGIANA</v>
          </cell>
        </row>
        <row r="48">
          <cell r="A48" t="str">
            <v>1254443Università del Piemonte Orientale</v>
          </cell>
        </row>
        <row r="49">
          <cell r="A49" t="str">
            <v>1254443IUSEFor</v>
          </cell>
        </row>
        <row r="50">
          <cell r="A50" t="str">
            <v>1254443OLTRE LE QUINTE A.P.S.</v>
          </cell>
        </row>
        <row r="51">
          <cell r="A51" t="str">
            <v>1254443Associazione Didee - arti e comunicazione</v>
          </cell>
        </row>
        <row r="52">
          <cell r="A52" t="str">
            <v>1254443FONDAZIONE NUOVO TEATRO FARAGGIANA</v>
          </cell>
        </row>
        <row r="53">
          <cell r="A53" t="str">
            <v>1269167IDM Suedtirol - Alto Adige</v>
          </cell>
        </row>
        <row r="54">
          <cell r="A54" t="str">
            <v>1269167EURAC research - Istituto per le Energie Rinnovabili</v>
          </cell>
        </row>
        <row r="55">
          <cell r="A55" t="str">
            <v>1269167Agenzia per l'Energia Alto Adige - CasaClima</v>
          </cell>
        </row>
        <row r="56">
          <cell r="A56" t="str">
            <v>1203128FONDAZIONE ISTITUTO SACRA FAMIGLIA ONLUS</v>
          </cell>
        </row>
        <row r="57">
          <cell r="A57" t="str">
            <v>1203128RSA MASSIMO LAGOSTINA ONLUS</v>
          </cell>
        </row>
        <row r="58">
          <cell r="A58" t="str">
            <v>1203128Fondazione Opera Pia Dr. Domenico Uccelli Onlus</v>
          </cell>
        </row>
        <row r="59">
          <cell r="A59" t="str">
            <v>1321273EUROPAEISCHE AKADEMIE BOZEN AUF ITALIENISCH "ACCADEMIA EUROPEA  DI BOLZANO " AUF LADINISCH "ACADEMIA EUROPEICA BULSAN" AUF ENGLISCH "EUROPEAN ACADEMY OF BOZEN-BOLZANO"</v>
          </cell>
        </row>
        <row r="60">
          <cell r="A60" t="str">
            <v>1321273Regione Lombardia</v>
          </cell>
        </row>
        <row r="61">
          <cell r="A61" t="str">
            <v>1325354Comune di Macugnaga</v>
          </cell>
        </row>
        <row r="62">
          <cell r="A62" t="str">
            <v>1331921NOI S.P.A. % NOI A.G.</v>
          </cell>
        </row>
        <row r="63">
          <cell r="A63" t="str">
            <v>1321185Regione Lombardia</v>
          </cell>
        </row>
        <row r="64">
          <cell r="A64" t="str">
            <v>1321185Gestione Governativa Navigazione Laghi</v>
          </cell>
        </row>
        <row r="65">
          <cell r="A65" t="str">
            <v>1316605Camera di Commercio Industria Artigianato Agricoltura di Varese</v>
          </cell>
        </row>
        <row r="66">
          <cell r="A66" t="str">
            <v>1323787UNIVERSITA' CARLO CATTANEO - LIUC</v>
          </cell>
        </row>
        <row r="67">
          <cell r="A67" t="str">
            <v>1323787Università degli Studi dell'Insubria</v>
          </cell>
        </row>
        <row r="68">
          <cell r="A68" t="str">
            <v>1344345CONSORZIO INTERCOMUNALE SERVIZI SOCIALI OSSOLA</v>
          </cell>
        </row>
        <row r="69">
          <cell r="A69" t="str">
            <v>1344345CENTRO DI RICERCA E DOCUMENTAZIONE LUIGI EINAUDI</v>
          </cell>
        </row>
        <row r="70">
          <cell r="A70" t="str">
            <v>1378409Comune di Domodossola</v>
          </cell>
        </row>
        <row r="71">
          <cell r="A71" t="str">
            <v>1375999ENTE DI GESTIONE DELLE AREE PROTETTE DEL TICINO E DEL LAGO MAGGIORE</v>
          </cell>
        </row>
        <row r="72">
          <cell r="A72" t="str">
            <v>1369655Camera di Commercio di Como-Lecco</v>
          </cell>
        </row>
        <row r="73">
          <cell r="A73" t="str">
            <v>1369655Unindustria Como</v>
          </cell>
        </row>
        <row r="74">
          <cell r="A74" t="str">
            <v>1369655Università Commerciale Luigi Bocconi</v>
          </cell>
        </row>
        <row r="75">
          <cell r="A75" t="str">
            <v>1383036Università del Piemonte Orientale</v>
          </cell>
        </row>
        <row r="76">
          <cell r="A76" t="str">
            <v>1383036Università degli Studi dell'Insubria</v>
          </cell>
        </row>
        <row r="77">
          <cell r="A77" t="str">
            <v>1385695VALTELLINA DI SONDRIO</v>
          </cell>
        </row>
        <row r="78">
          <cell r="A78" t="str">
            <v>1385695FONDAZIONE FOJANINI DI STUDI SUPERIORI AZIENDA AGRICOLA</v>
          </cell>
        </row>
        <row r="79">
          <cell r="A79" t="str">
            <v>1384281Regione Lombardia</v>
          </cell>
        </row>
        <row r="80">
          <cell r="A80" t="str">
            <v>1384281ENTE PARCO REGIONALE CAMPO DEI FIORI</v>
          </cell>
        </row>
        <row r="81">
          <cell r="A81" t="str">
            <v>1384281CLUB ALPINO ITALIANO REGIONE LOMBARDIA IN SIGLA CAI LOMBARDIA</v>
          </cell>
        </row>
        <row r="82">
          <cell r="A82" t="str">
            <v>1385474Università del Piemonte Orientale</v>
          </cell>
        </row>
        <row r="83">
          <cell r="A83" t="str">
            <v>1385474Università degli Studi di Pavia</v>
          </cell>
        </row>
        <row r="84">
          <cell r="A84" t="str">
            <v>1406520Camera di Commercio di Como-Lecco</v>
          </cell>
        </row>
        <row r="85">
          <cell r="A85" t="str">
            <v>1406520Unindustria Como</v>
          </cell>
        </row>
        <row r="86">
          <cell r="A86" t="str">
            <v>1406520Università Commerciale Luigi Bocconi</v>
          </cell>
        </row>
        <row r="87">
          <cell r="A87" t="str">
            <v>1403938UNIVERSITA' CARLO CATTANEO - LIUC</v>
          </cell>
        </row>
        <row r="88">
          <cell r="A88" t="str">
            <v>1403938Università degli Studi dell'Insubria</v>
          </cell>
        </row>
        <row r="89">
          <cell r="A89" t="str">
            <v>1228032FONDAZIONE POLITECNICO DI MILANO</v>
          </cell>
        </row>
        <row r="90">
          <cell r="A90" t="str">
            <v>1404572VALCHIAVENNA</v>
          </cell>
        </row>
        <row r="91">
          <cell r="A91" t="str">
            <v>1404572Associazione Italo Svizzera per gli Scavi di Piuro</v>
          </cell>
        </row>
        <row r="92">
          <cell r="A92" t="str">
            <v>1404572FONDAZIONE POLITECNICO DI MILANO</v>
          </cell>
        </row>
        <row r="93">
          <cell r="A93" t="str">
            <v>1404572Università degli Studi di Milano - Bicocca</v>
          </cell>
        </row>
        <row r="94">
          <cell r="A94" t="str">
            <v>1404572PIURO</v>
          </cell>
        </row>
        <row r="95">
          <cell r="A95" t="str">
            <v>1404572Politecnico di Milano</v>
          </cell>
        </row>
        <row r="96">
          <cell r="A96" t="str">
            <v>1404572Regione Lombardia</v>
          </cell>
        </row>
        <row r="97">
          <cell r="A97" t="str">
            <v>1404572Università degli Studi di Milano</v>
          </cell>
        </row>
        <row r="98">
          <cell r="A98" t="str">
            <v>1402805EUROPAEISCHE AKADEMIE BOZEN AUF ITALIENISCH "ACCADEMIA EUROPEA  DI BOLZANO " AUF LADINISCH "ACADEMIA EUROPEICA BULSAN" AUF ENGLISCH "EUROPEAN ACADEMY OF BOZEN-BOLZANO"</v>
          </cell>
        </row>
        <row r="99">
          <cell r="A99" t="str">
            <v>1402805Regione Lombardia</v>
          </cell>
        </row>
        <row r="100">
          <cell r="A100" t="str">
            <v>1395717Camera di Commercio del Verbano Cusio Ossola</v>
          </cell>
        </row>
        <row r="101">
          <cell r="A101" t="str">
            <v>1395717Camera di Commercio Industria Artigianato Agricoltura di Varese</v>
          </cell>
        </row>
        <row r="102">
          <cell r="A102" t="str">
            <v>1380764Regione Autonoma Valle d'Aosta</v>
          </cell>
        </row>
        <row r="103">
          <cell r="A103" t="str">
            <v>1380764Fondazione Montagna sicura - Montagne sûre</v>
          </cell>
        </row>
        <row r="104">
          <cell r="A104" t="str">
            <v>1380764Agenzia regionale per la protezione dell'ambiente della Valle d'Aosta</v>
          </cell>
        </row>
        <row r="105">
          <cell r="A105" t="str">
            <v>1380764Politecnico di Torino</v>
          </cell>
        </row>
        <row r="106">
          <cell r="A106" t="str">
            <v>1380764Institut Agricole Régional</v>
          </cell>
        </row>
        <row r="107">
          <cell r="A107" t="str">
            <v>1404379Politecnico di Milano</v>
          </cell>
        </row>
        <row r="108">
          <cell r="A108" t="str">
            <v>1228019Regione Lombardia</v>
          </cell>
        </row>
        <row r="109">
          <cell r="A109" t="str">
            <v>1404358COMO</v>
          </cell>
        </row>
        <row r="110">
          <cell r="A110" t="str">
            <v>1385625Politecnico di Milano</v>
          </cell>
        </row>
        <row r="111">
          <cell r="A111" t="str">
            <v>1404411Arpa Piemonte</v>
          </cell>
        </row>
        <row r="112">
          <cell r="A112" t="str">
            <v>1404436Politecnico di Milano</v>
          </cell>
        </row>
        <row r="113">
          <cell r="A113" t="str">
            <v>1404436Fondazione Bruno Kessler</v>
          </cell>
        </row>
        <row r="114">
          <cell r="A114" t="str">
            <v>1404436Lecco</v>
          </cell>
        </row>
        <row r="115">
          <cell r="A115" t="str">
            <v>1404436Regione Lombardia</v>
          </cell>
        </row>
        <row r="116">
          <cell r="A116" t="str">
            <v>1404532Politecnico di Milano</v>
          </cell>
        </row>
        <row r="117">
          <cell r="A117" t="str">
            <v>1404532Consiglio Nazionale delle Ricerche</v>
          </cell>
        </row>
        <row r="118">
          <cell r="A118" t="str">
            <v>1404532FONDAZIONE POLITECNICO DI MILANO</v>
          </cell>
        </row>
        <row r="119">
          <cell r="A119" t="str">
            <v>1408656UNIVERSITA' CARLO CATTANEO - LIUC</v>
          </cell>
        </row>
        <row r="120">
          <cell r="A120" t="str">
            <v>1398444UNIVERSITA ' CARLO CATTANEO - LIUC</v>
          </cell>
        </row>
        <row r="121">
          <cell r="A121" t="str">
            <v>1395195Fondazione Circolo dei lettori</v>
          </cell>
        </row>
        <row r="122">
          <cell r="A122" t="str">
            <v>1395195SCUOLA - COMUNITA' - IMPRESA</v>
          </cell>
        </row>
        <row r="123">
          <cell r="A123" t="str">
            <v>1395195Comunità di Sant Egidio Piemonte Onlus</v>
          </cell>
        </row>
        <row r="124">
          <cell r="A124" t="str">
            <v>1402799EUROPAEISCHE AKADEMIE BOZEN AUF ITALIENISCH "ACCADEMIA EUROPEA  DI BOLZANO " AUF LADINISCH "ACADEMIA EUROPEICA BULSAN" AUF ENGLISCH "EUROPEAN ACADEMY OF BOZEN-BOLZANO"</v>
          </cell>
        </row>
        <row r="125">
          <cell r="A125" t="str">
            <v>1402799Comune di Verbania</v>
          </cell>
        </row>
        <row r="126">
          <cell r="A126" t="str">
            <v>1395835AZIENDA SOCIO SANITARIA TERRITORIALE DELLA VALTELLINA E DELL'ALTO LARIO</v>
          </cell>
        </row>
        <row r="127">
          <cell r="A127" t="str">
            <v>1403909ATS DELLA BRIANZA</v>
          </cell>
        </row>
        <row r="128">
          <cell r="A128" t="str">
            <v>1418527Fondazione Circolo dei lettori</v>
          </cell>
        </row>
        <row r="129">
          <cell r="A129" t="str">
            <v>1418527SCUOLA - COMUNITA' - IMPRESA</v>
          </cell>
        </row>
        <row r="130">
          <cell r="A130" t="str">
            <v>1418527Associazione Next Level</v>
          </cell>
        </row>
        <row r="131">
          <cell r="A131" t="str">
            <v>1418527Comunità di Sant Egidio Piemonte Onlus</v>
          </cell>
        </row>
        <row r="132">
          <cell r="A132" t="str">
            <v>1393207Camera di Commercio del Verbano Cusio Ossola</v>
          </cell>
        </row>
        <row r="133">
          <cell r="A133" t="str">
            <v>1393207Camera di Commercio Industria Artigianato Agricoltura di Varese</v>
          </cell>
        </row>
        <row r="134">
          <cell r="A134" t="str">
            <v>1393207Camera di Commercio Industria Artigianato Agricoltura di Novara</v>
          </cell>
        </row>
        <row r="135">
          <cell r="A135" t="str">
            <v>1398481Consiglio Nazionale delle Ricerche</v>
          </cell>
        </row>
        <row r="136">
          <cell r="A136" t="str">
            <v>1404365EURAC research - Istituto per le Energie Rinnovabili</v>
          </cell>
        </row>
        <row r="137">
          <cell r="A137" t="str">
            <v>1404365Agenzia per l'Energia Alto Adige - CasaClima</v>
          </cell>
        </row>
        <row r="138">
          <cell r="A138" t="str">
            <v>1405441Consiglio Nazionale delle Ricerche</v>
          </cell>
        </row>
        <row r="139">
          <cell r="A139" t="str">
            <v>1399682Università del Piemonte Orientale</v>
          </cell>
        </row>
        <row r="140">
          <cell r="A140" t="str">
            <v>1399682IUSEFor</v>
          </cell>
        </row>
        <row r="141">
          <cell r="A141" t="str">
            <v>1399682Associazione Didee - arti e comunicazione</v>
          </cell>
        </row>
        <row r="142">
          <cell r="A142" t="str">
            <v>1399682FONDAZIONE NUOVO TEATRO FARAGGIANA</v>
          </cell>
        </row>
        <row r="143">
          <cell r="A143" t="str">
            <v>1412051comune di Saint-Rhémy-en-Bosses</v>
          </cell>
        </row>
        <row r="144">
          <cell r="A144" t="str">
            <v>1412051Fondazione Montagna sicura - Montagne sûre</v>
          </cell>
        </row>
        <row r="145">
          <cell r="A145" t="str">
            <v>1397751Provincia di Varese</v>
          </cell>
        </row>
        <row r="146">
          <cell r="A146" t="str">
            <v>1397751UNIVERSITA ' CARLO CATTANEO - LIUC</v>
          </cell>
        </row>
        <row r="147">
          <cell r="A147" t="str">
            <v>1397751Regione Lombardia</v>
          </cell>
        </row>
        <row r="148">
          <cell r="A148" t="str">
            <v>1397751PROVINCIA DI COMO</v>
          </cell>
        </row>
        <row r="149">
          <cell r="A149" t="str">
            <v>1248233PARCO LOMBARDO DELLA VALLE DEL TICINO</v>
          </cell>
        </row>
        <row r="150">
          <cell r="A150" t="str">
            <v>1248233G.R.A.I.A. SRL GESTIONE E RICERCA AMBIENTALE ITTICA ACQUE</v>
          </cell>
        </row>
        <row r="151">
          <cell r="A151" t="str">
            <v>1248233Società Valsesiana Pescatori Sportivi A.S.D.</v>
          </cell>
        </row>
        <row r="152">
          <cell r="A152" t="str">
            <v>1248233UNIONE MONTANA DEI COMUNI DELLA VALSESIA</v>
          </cell>
        </row>
        <row r="153">
          <cell r="A153" t="str">
            <v>1248233TERRE DEL SESIA SOCIETA' CONSORTILE A RESPONSABILITA' LIMITATA</v>
          </cell>
        </row>
        <row r="154">
          <cell r="A154" t="str">
            <v>1248233CNR Istituto di Ricerca Sulle Acque</v>
          </cell>
        </row>
        <row r="155">
          <cell r="A155" t="str">
            <v>1395362ASSOCIATION REGIONALE ELEVEURS VALDOTAINS</v>
          </cell>
        </row>
        <row r="156">
          <cell r="A156" t="str">
            <v>1453095Comune di Centro Valle Intelvi</v>
          </cell>
        </row>
        <row r="157">
          <cell r="A157" t="str">
            <v>1453095LARIOINTELVESE</v>
          </cell>
        </row>
        <row r="158">
          <cell r="A158" t="str">
            <v>1453095Università degli Studi di Milano</v>
          </cell>
        </row>
        <row r="159">
          <cell r="A159" t="str">
            <v>1447633Camera di Commercio del Verbano Cusio Ossola</v>
          </cell>
        </row>
        <row r="160">
          <cell r="A160" t="str">
            <v>1452014Università del Piemonte Orientale</v>
          </cell>
        </row>
        <row r="161">
          <cell r="A161" t="str">
            <v>1452014IUSEFor</v>
          </cell>
        </row>
        <row r="162">
          <cell r="A162" t="str">
            <v>1452014OLTRE LE QUINTE A.P.S.</v>
          </cell>
        </row>
        <row r="163">
          <cell r="A163" t="str">
            <v>1452014Associazione Didee - arti e comunicazione</v>
          </cell>
        </row>
        <row r="164">
          <cell r="A164" t="str">
            <v>1452014FONDAZIONE NUOVO TEATRO FARAGGIANA</v>
          </cell>
        </row>
        <row r="165">
          <cell r="A165" t="str">
            <v>1432091DMO</v>
          </cell>
        </row>
        <row r="166">
          <cell r="A166" t="str">
            <v>1432091AMP</v>
          </cell>
        </row>
        <row r="167">
          <cell r="A167" t="str">
            <v>1426104Provincia di Varese</v>
          </cell>
        </row>
        <row r="168">
          <cell r="A168" t="str">
            <v>1426104VALMOREA</v>
          </cell>
        </row>
        <row r="169">
          <cell r="A169" t="str">
            <v>1426352Regione Lombardia</v>
          </cell>
        </row>
        <row r="170">
          <cell r="A170" t="str">
            <v>1426352Agenzia del trasporto pubblico del bacino di Como, Lecco e Varese</v>
          </cell>
        </row>
        <row r="171">
          <cell r="A171" t="str">
            <v>1445519IL SENTIERO SOCIETA' COOPERATIVA SOCIALE</v>
          </cell>
        </row>
        <row r="172">
          <cell r="A172" t="str">
            <v>1445519LA CLESSIDRA SOCIETA' COOPERATIVA SOCIALE</v>
          </cell>
        </row>
        <row r="173">
          <cell r="A173" t="str">
            <v>1446369ALFA S.R.L.</v>
          </cell>
        </row>
        <row r="174">
          <cell r="A174" t="str">
            <v>1431064Fondazione Opera Pia Dr. Domenico Uccelli Onlus</v>
          </cell>
        </row>
        <row r="175">
          <cell r="A175" t="str">
            <v>1447633Camera di Commercio Industria Artigianato Agricoltura di Varese</v>
          </cell>
        </row>
        <row r="176">
          <cell r="A176" t="str">
            <v>1453958Politecnico di Milano</v>
          </cell>
        </row>
        <row r="177">
          <cell r="A177" t="str">
            <v>1450113Politecnico di Milano</v>
          </cell>
        </row>
        <row r="178">
          <cell r="A178" t="str">
            <v>1450113FONDAZIONE POLITECNICO DI MILANO</v>
          </cell>
        </row>
        <row r="179">
          <cell r="A179" t="str">
            <v>1453815LUINO</v>
          </cell>
        </row>
        <row r="180">
          <cell r="A180" t="str">
            <v>1451171Ente per la Gestione del Parco Regionale di Montevecchia e della Valle del Curone</v>
          </cell>
        </row>
        <row r="181">
          <cell r="A181" t="str">
            <v>1451171Ente di gestione delle aree protette dell'Ossola</v>
          </cell>
        </row>
        <row r="182">
          <cell r="A182" t="str">
            <v>1451171PARCO MONTE BARRO</v>
          </cell>
        </row>
        <row r="183">
          <cell r="A183" t="str">
            <v>1451171CERVIM</v>
          </cell>
        </row>
        <row r="184">
          <cell r="A184" t="str">
            <v>1447547Camera di Commercio del Verbano Cusio Ossola</v>
          </cell>
        </row>
        <row r="185">
          <cell r="A185" t="str">
            <v>1447547Camera di Commercio Industria Artigianato Agricoltura di Varese</v>
          </cell>
        </row>
        <row r="186">
          <cell r="A186" t="str">
            <v>1447547Camera di Commercio Industria Artigianato Agricoltura di Novara</v>
          </cell>
        </row>
        <row r="187">
          <cell r="A187" t="str">
            <v>1401574Università del Piemonte Orientale</v>
          </cell>
        </row>
        <row r="188">
          <cell r="A188" t="str">
            <v>1401574Politecnico di Torino</v>
          </cell>
        </row>
        <row r="189">
          <cell r="A189" t="str">
            <v>1401574Centro per la Conservazione ed il Restauro dei Beni Culturali "La Venaria Reale"</v>
          </cell>
        </row>
        <row r="190">
          <cell r="A190" t="str">
            <v>1401574CONFARTIGIANATO IMPRESE PIEMONTE ORIENTALE</v>
          </cell>
        </row>
        <row r="191">
          <cell r="A191" t="str">
            <v>1453283Provincia di Novara</v>
          </cell>
        </row>
        <row r="192">
          <cell r="A192" t="str">
            <v>1447633Camera di Commercio Industria Artigianato Agricoltura di Novara</v>
          </cell>
        </row>
        <row r="193">
          <cell r="A193" t="str">
            <v>1248245G.R.A.I.A. SRL GESTIONE E RICERCA AMBIENTALE ITTICA ACQUE</v>
          </cell>
        </row>
        <row r="194">
          <cell r="A194" t="str">
            <v>1248245Società Valsesiana Pescatori Sportivi A.S.D.</v>
          </cell>
        </row>
        <row r="195">
          <cell r="A195" t="str">
            <v>1248245CNR Istituto di Ricerca Sulle Acque</v>
          </cell>
        </row>
        <row r="196">
          <cell r="A196" t="str">
            <v>1468280NOI S.P.A. % NOI A.G.</v>
          </cell>
        </row>
        <row r="197">
          <cell r="A197" t="str">
            <v>1462131Fondation Grand Paradis</v>
          </cell>
        </row>
        <row r="198">
          <cell r="A198" t="str">
            <v>1462131Comune di Rhêmes-Saint-Georges</v>
          </cell>
        </row>
        <row r="199">
          <cell r="A199" t="str">
            <v>1462131Comune di Saint-Marcel</v>
          </cell>
        </row>
        <row r="200">
          <cell r="A200" t="str">
            <v>1462131Comune di Cogne</v>
          </cell>
        </row>
        <row r="201">
          <cell r="A201" t="str">
            <v>1460114PROVINCIA DI LECCO</v>
          </cell>
        </row>
        <row r="202">
          <cell r="A202" t="str">
            <v>1461401LARIOINTELVESE</v>
          </cell>
        </row>
        <row r="203">
          <cell r="A203" t="str">
            <v>1461401Ente Regionale per i Servizi all'Agricoltura e alle Foreste - ERSAF</v>
          </cell>
        </row>
        <row r="204">
          <cell r="A204" t="str">
            <v>1461401ARGEGNO</v>
          </cell>
        </row>
        <row r="205">
          <cell r="A205" t="str">
            <v>1461401SCHIGNANO</v>
          </cell>
        </row>
        <row r="206">
          <cell r="A206" t="str">
            <v>1461401CLAINO CON OSTENO</v>
          </cell>
        </row>
        <row r="207">
          <cell r="A207" t="str">
            <v>1461355Associazione per la protezione del patrimonio artistico e culturale Valle Intelvi - APPACUVI</v>
          </cell>
        </row>
        <row r="208">
          <cell r="A208" t="str">
            <v>1461355ENTE VILLA CARLOTTA</v>
          </cell>
        </row>
        <row r="209">
          <cell r="A209" t="str">
            <v>1488222LECCO</v>
          </cell>
        </row>
        <row r="210">
          <cell r="A210" t="str">
            <v>1481471FONDAZIONE ISTITUTO SACRA FAMIGLIA ONLUS</v>
          </cell>
        </row>
        <row r="211">
          <cell r="A211" t="str">
            <v>1481471RSA MASSIMO LAGOSTINA ONLUS</v>
          </cell>
        </row>
        <row r="212">
          <cell r="A212" t="str">
            <v>1481471Fondazione Opera Pia Dr. Domenico Uccelli Onlus</v>
          </cell>
        </row>
        <row r="213">
          <cell r="A213" t="str">
            <v>1481471Università Cattolica del Sacro Cuore</v>
          </cell>
        </row>
        <row r="214">
          <cell r="A214" t="str">
            <v>1469269Camera di Commercio Como-Lecco</v>
          </cell>
        </row>
        <row r="215">
          <cell r="A215" t="str">
            <v>1486183ASSOCIATION REGIONALE ELEVEURS VALDOTAINS</v>
          </cell>
        </row>
        <row r="216">
          <cell r="A216" t="str">
            <v>1475877Università Cattolica del Sacro Cuore</v>
          </cell>
        </row>
        <row r="217">
          <cell r="A217" t="str">
            <v>1469166VALCHIAVENNA</v>
          </cell>
        </row>
        <row r="218">
          <cell r="A218" t="str">
            <v>1490251COMUNITA' MONTANA VALLI DEL LARIO E DEL CERESIO</v>
          </cell>
        </row>
        <row r="219">
          <cell r="A219" t="str">
            <v>1459619COMUNITA' MONTANA VALLI DEL LARIO E DEL CERESIO</v>
          </cell>
        </row>
        <row r="220">
          <cell r="A220" t="str">
            <v>1460144COMUNITA' MONTANA DELLA VALCHIAVENNA</v>
          </cell>
        </row>
        <row r="221">
          <cell r="A221" t="str">
            <v>1458772Provincia di Lecco</v>
          </cell>
        </row>
        <row r="222">
          <cell r="A222" t="str">
            <v>1458772COMUNITA' MONTANA VALSASSINA VALVARRONE VAL D'ESINO E RIVIERA</v>
          </cell>
        </row>
        <row r="223">
          <cell r="A223" t="str">
            <v>1461161U.C. DELLA VALMALENCO</v>
          </cell>
        </row>
        <row r="224">
          <cell r="A224" t="str">
            <v>1461161CHIESA IN VALMALENCO</v>
          </cell>
        </row>
        <row r="225">
          <cell r="A225" t="str">
            <v>1461161LANZADA</v>
          </cell>
        </row>
        <row r="226">
          <cell r="A226" t="str">
            <v>1461161TORRE DI SANTA MARIA</v>
          </cell>
        </row>
        <row r="227">
          <cell r="A227" t="str">
            <v>1461161Università degli Studi di Milano</v>
          </cell>
        </row>
        <row r="228">
          <cell r="A228" t="str">
            <v>1461161CASPOGGIO</v>
          </cell>
        </row>
        <row r="229">
          <cell r="A229" t="str">
            <v>1461161SPRIANA</v>
          </cell>
        </row>
        <row r="230">
          <cell r="A230" t="str">
            <v>1394913VALTELLINA DI SONDRIO</v>
          </cell>
        </row>
        <row r="231">
          <cell r="A231" t="str">
            <v>1394913CHIURO</v>
          </cell>
        </row>
        <row r="232">
          <cell r="A232" t="str">
            <v>1394913FONDAZIONE FOJANINI DI STUDI SUPERIORI AZIENDA AGRICOLA</v>
          </cell>
        </row>
        <row r="233">
          <cell r="A233" t="str">
            <v>1476521CONSORZIO INTERCOMUNALE SERVIZI SOCIALI OSSOLA</v>
          </cell>
        </row>
        <row r="234">
          <cell r="A234" t="str">
            <v>1394431S.C.R.L. (SOCIETA' CONSORTILE A RESPONSABILITA' LIMITATA) DENOMI NATA DISTRETTO TURISTICO DEI LAGHI - SOCIETA' CONSORTILE A RESPONSABILITA' LIMITATA</v>
          </cell>
        </row>
        <row r="235">
          <cell r="A235" t="str">
            <v>1460822FONDAZIONE POLITECNICO DI MILANO</v>
          </cell>
        </row>
        <row r="236">
          <cell r="A236" t="str">
            <v>1483127ENTE DI GESTIONE DELLE AREE PROTETTE DEL TICINO E DEL LAGO MAGGIORE</v>
          </cell>
        </row>
        <row r="237">
          <cell r="A237" t="str">
            <v>1483127Università degli Studi dell'Insubria</v>
          </cell>
        </row>
        <row r="238">
          <cell r="A238" t="str">
            <v>1505355LUINO</v>
          </cell>
        </row>
        <row r="239">
          <cell r="A239" t="str">
            <v>1506209Regione Lombardia</v>
          </cell>
        </row>
        <row r="240">
          <cell r="A240" t="str">
            <v>1506209ASSOCIAZIONE FORTE DI BARD</v>
          </cell>
        </row>
        <row r="241">
          <cell r="A241" t="str">
            <v>1506209AZIENDA DI PROMOZIONE E SVILUPPO TURISTICO DI LIVIGNO S.R.L. (IN ACRONIMO "A.P.T. S.R.L.")</v>
          </cell>
        </row>
        <row r="242">
          <cell r="A242" t="str">
            <v>1506209Ente Regionale per i Servizi all'Agricoltura e alle Foreste - ERSAF</v>
          </cell>
        </row>
        <row r="243">
          <cell r="A243" t="str">
            <v>1506209Università degli Studi di Milano</v>
          </cell>
        </row>
        <row r="244">
          <cell r="A244" t="str">
            <v>1506945LUINO</v>
          </cell>
        </row>
        <row r="245">
          <cell r="A245" t="str">
            <v>1507212AZIENDA SOCIO SANITARIA TERRITORIALE DELLA VALTELLINA E DELL'ALTO LARIO</v>
          </cell>
        </row>
        <row r="246">
          <cell r="A246" t="str">
            <v>1499255LUINO</v>
          </cell>
        </row>
        <row r="247">
          <cell r="A247" t="str">
            <v>1498229LUINO</v>
          </cell>
        </row>
        <row r="248">
          <cell r="A248" t="str">
            <v>1493092Università degli Studi dell'Insubria</v>
          </cell>
        </row>
        <row r="249">
          <cell r="A249" t="str">
            <v>1497472COOPERATIVA SOCIALE SIM-PATIA - SOCIETA' COOPERATIVA</v>
          </cell>
        </row>
        <row r="250">
          <cell r="A250" t="str">
            <v>1497472IL SENTIERO SOCIETA' COOPERATIVA SOCIALE</v>
          </cell>
        </row>
        <row r="251">
          <cell r="A251" t="str">
            <v>1497472LA CLESSIDRA SOCIETA' COOPERATIVA SOCIALE</v>
          </cell>
        </row>
        <row r="252">
          <cell r="A252" t="str">
            <v>1498150LUINO</v>
          </cell>
        </row>
        <row r="253">
          <cell r="A253" t="str">
            <v>1486150ASSOCIATION REGIONALE ELEVEURS VALDOTAINS</v>
          </cell>
        </row>
        <row r="254">
          <cell r="A254" t="str">
            <v>1507844LUINO</v>
          </cell>
        </row>
        <row r="255">
          <cell r="A255" t="str">
            <v>1520619ASSOCIATION REGIONALE ELEVEURS VALDOTAINS</v>
          </cell>
        </row>
        <row r="256">
          <cell r="A256" t="str">
            <v>1514382Institut Agricole Régional</v>
          </cell>
        </row>
        <row r="257">
          <cell r="A257" t="str">
            <v>1514382Links - LEADING INNOVATION &amp; KNOWLEDGE FOR SOCIETY            DELL'INFORMAZIONE E DELLE TELECOMUNICAZIONI</v>
          </cell>
        </row>
        <row r="258">
          <cell r="A258" t="str">
            <v>1498204LUINO</v>
          </cell>
        </row>
        <row r="259">
          <cell r="A259" t="str">
            <v>1542088LUINO</v>
          </cell>
        </row>
        <row r="260">
          <cell r="A260" t="str">
            <v>1548221UNIONE MONTANA VALLE VIGEZZO</v>
          </cell>
        </row>
        <row r="261">
          <cell r="A261" t="str">
            <v>1548221unione del Lago Maggiore</v>
          </cell>
        </row>
        <row r="262">
          <cell r="A262" t="str">
            <v>1589018Consorzio del Ticino</v>
          </cell>
        </row>
        <row r="263">
          <cell r="A263" t="str">
            <v>1561841LECCO</v>
          </cell>
        </row>
        <row r="264">
          <cell r="A264" t="str">
            <v>1519729FONDAZIONE POLITECNICO DI MILANO</v>
          </cell>
        </row>
        <row r="265">
          <cell r="A265" t="str">
            <v>1519729Politecnico di Milano</v>
          </cell>
        </row>
        <row r="266">
          <cell r="A266" t="str">
            <v>1519729Università degli Studi di Milano</v>
          </cell>
        </row>
        <row r="267">
          <cell r="A267" t="str">
            <v>1607864ENTE PARCO REGIONALE CAMPO DEI FIORI</v>
          </cell>
        </row>
        <row r="268">
          <cell r="A268" t="str">
            <v>1659524Comune di Centro Valle Intelvi</v>
          </cell>
        </row>
        <row r="269">
          <cell r="A269" t="str">
            <v>1701916CLUB ALPINO ITALIANO REGIONE LOMBARDIA IN SIGLA CAI LOMBARDIA</v>
          </cell>
        </row>
        <row r="270">
          <cell r="A270" t="str">
            <v>1667369Consiglio Nazionale delle Ricerche</v>
          </cell>
        </row>
        <row r="271">
          <cell r="A271" t="str">
            <v>1667065Consorzio del Ticino</v>
          </cell>
        </row>
        <row r="272">
          <cell r="A272" t="str">
            <v>1666316LARIOINTELVESE</v>
          </cell>
        </row>
        <row r="273">
          <cell r="A273" t="str">
            <v>1689255Provincia di Varese</v>
          </cell>
        </row>
      </sheetData>
      <sheetData sheetId="3">
        <row r="1">
          <cell r="A1" t="str">
            <v>1159528Provincia di Lecco</v>
          </cell>
        </row>
        <row r="2">
          <cell r="A2" t="str">
            <v>1160998CENTRO RICERCA ARTE MUSICA SPETTACOLO SOCIETA' COOPERATIVA SOCIAL IN MODO ABBREVIATO CRAMS</v>
          </cell>
        </row>
        <row r="3">
          <cell r="A3" t="str">
            <v>1160998Need Institute</v>
          </cell>
        </row>
        <row r="4">
          <cell r="A4" t="str">
            <v>1161258Provincia di Lecco</v>
          </cell>
        </row>
        <row r="5">
          <cell r="A5" t="str">
            <v>1161412Consiglio Nazionale delle Ricerche</v>
          </cell>
        </row>
        <row r="6">
          <cell r="A6" t="str">
            <v>1161478Università degli Studi dell'Insubria</v>
          </cell>
        </row>
        <row r="7">
          <cell r="A7" t="str">
            <v>1161478Università del Piemonte Orientale</v>
          </cell>
        </row>
        <row r="8">
          <cell r="A8" t="str">
            <v>1170248LECCO</v>
          </cell>
        </row>
        <row r="9">
          <cell r="A9" t="str">
            <v>1176638Università del Piemonte Orientale</v>
          </cell>
        </row>
        <row r="10">
          <cell r="A10" t="str">
            <v>1181441GALLARATE</v>
          </cell>
        </row>
        <row r="11">
          <cell r="A11" t="str">
            <v>1184007Camera di Commercio Como-Lecco</v>
          </cell>
        </row>
        <row r="12">
          <cell r="A12" t="str">
            <v>1190374Arpa Piemonte</v>
          </cell>
        </row>
        <row r="13">
          <cell r="A13" t="str">
            <v>1190374Regione Lombardia</v>
          </cell>
        </row>
        <row r="14">
          <cell r="A14" t="str">
            <v>1190374FONDAZIONE POLITECNICO DI MILANO</v>
          </cell>
        </row>
        <row r="15">
          <cell r="A15" t="str">
            <v>1203057FONDAZIONE ISTITUTO SACRA FAMIGLIA ONLUS</v>
          </cell>
        </row>
        <row r="16">
          <cell r="A16" t="str">
            <v>1203057RSA MASSIMO LAGOSTINA ONLUS</v>
          </cell>
        </row>
        <row r="17">
          <cell r="A17" t="str">
            <v>1203057Fondazione Opera Pia Dr. Domenico Uccelli Onlus</v>
          </cell>
        </row>
        <row r="18">
          <cell r="A18" t="str">
            <v>1203128RSA MASSIMO LAGOSTINA ONLUS</v>
          </cell>
        </row>
        <row r="19">
          <cell r="A19" t="str">
            <v>1203128Fondazione Opera Pia Dr. Domenico Uccelli Onlus</v>
          </cell>
        </row>
        <row r="20">
          <cell r="A20" t="str">
            <v>1203128FONDAZIONE ISTITUTO SACRA FAMIGLIA ONLUS</v>
          </cell>
        </row>
        <row r="21">
          <cell r="A21" t="str">
            <v>1207108FONDAZIONE NUOVO TEATRO FARAGGIANA</v>
          </cell>
        </row>
        <row r="22">
          <cell r="A22" t="str">
            <v>1210203Institut Agricole Régional</v>
          </cell>
        </row>
        <row r="23">
          <cell r="A23" t="str">
            <v>1228019Regione Lombardia</v>
          </cell>
        </row>
        <row r="24">
          <cell r="A24" t="str">
            <v>1228032FONDAZIONE POLITECNICO DI MILANO</v>
          </cell>
        </row>
        <row r="25">
          <cell r="A25" t="str">
            <v>1232145comune di Saint-Rhémy-en-Bosses</v>
          </cell>
        </row>
        <row r="26">
          <cell r="A26" t="str">
            <v>1244182Università degli Studi di Milano</v>
          </cell>
        </row>
        <row r="27">
          <cell r="A27" t="str">
            <v>1248233UNIONE MONTANA DEI COMUNI DELLA VALSESIA</v>
          </cell>
        </row>
        <row r="28">
          <cell r="A28" t="str">
            <v>1248233CNR Istituto di Ricerca Sulle Acque</v>
          </cell>
        </row>
        <row r="29">
          <cell r="A29" t="str">
            <v>1248233TERRE DEL SESIA SOCIETA' CONSORTILE A RESPONSABILITA' LIMITATA</v>
          </cell>
        </row>
        <row r="30">
          <cell r="A30" t="str">
            <v>1248233Società Valsesiana Pescatori Sportivi A.S.D.</v>
          </cell>
        </row>
        <row r="31">
          <cell r="A31" t="str">
            <v>1248233G.R.A.I.A. SRL GESTIONE E RICERCA AMBIENTALE ITTICA ACQUE</v>
          </cell>
        </row>
        <row r="32">
          <cell r="A32" t="str">
            <v>1248233PARCO LOMBARDO DELLA VALLE DEL TICINO</v>
          </cell>
        </row>
        <row r="33">
          <cell r="A33" t="str">
            <v>1248245CNR Istituto di Ricerca Sulle Acque</v>
          </cell>
        </row>
        <row r="34">
          <cell r="A34" t="str">
            <v>1248245Società Valsesiana Pescatori Sportivi A.S.D.</v>
          </cell>
        </row>
        <row r="35">
          <cell r="A35" t="str">
            <v>1248245G.R.A.I.A. SRL GESTIONE E RICERCA AMBIENTALE ITTICA ACQUE</v>
          </cell>
        </row>
        <row r="36">
          <cell r="A36" t="str">
            <v>1253349Fondation Grand Paradis</v>
          </cell>
        </row>
        <row r="37">
          <cell r="A37" t="str">
            <v>1253349Comune di Introd</v>
          </cell>
        </row>
        <row r="38">
          <cell r="A38" t="str">
            <v>1253349Comune di Saint-Marcel</v>
          </cell>
        </row>
        <row r="39">
          <cell r="A39" t="str">
            <v>1254036FONDAZIONE POLITECNICO DI MILANO</v>
          </cell>
        </row>
        <row r="40">
          <cell r="A40" t="str">
            <v>1254036Consiglio Nazionale delle Ricerche</v>
          </cell>
        </row>
        <row r="41">
          <cell r="A41" t="str">
            <v>1254036Politecnico di Milano</v>
          </cell>
        </row>
        <row r="42">
          <cell r="A42" t="str">
            <v>1254443FONDAZIONE NUOVO TEATRO FARAGGIANA</v>
          </cell>
        </row>
        <row r="43">
          <cell r="A43" t="str">
            <v>1254443Associazione Didee - arti e comunicazione</v>
          </cell>
        </row>
        <row r="44">
          <cell r="A44" t="str">
            <v>1254443OLTRE LE QUINTE A.P.S.</v>
          </cell>
        </row>
        <row r="45">
          <cell r="A45" t="str">
            <v>1254443IUSEFor</v>
          </cell>
        </row>
        <row r="46">
          <cell r="A46" t="str">
            <v>1254443Università del Piemonte Orientale</v>
          </cell>
        </row>
        <row r="47">
          <cell r="A47" t="str">
            <v>1259594Institut Agricole Régional</v>
          </cell>
        </row>
        <row r="48">
          <cell r="A48" t="str">
            <v>1261659ANFFAS LOMBARDIA ONLUS</v>
          </cell>
        </row>
        <row r="49">
          <cell r="A49" t="str">
            <v>1262654FONDAZIONE POLITECNICO DI MILANO</v>
          </cell>
        </row>
        <row r="50">
          <cell r="A50" t="str">
            <v>1266407Camera di Commercio del Verbano Cusio Ossola</v>
          </cell>
        </row>
        <row r="51">
          <cell r="A51" t="str">
            <v>1269167IDM Suedtirol - Alto Adige</v>
          </cell>
        </row>
        <row r="52">
          <cell r="A52" t="str">
            <v>1269167Agenzia per l'Energia Alto Adige - CasaClima</v>
          </cell>
        </row>
        <row r="53">
          <cell r="A53" t="str">
            <v>1269167EURAC research - Istituto per le Energie Rinnovabili</v>
          </cell>
        </row>
        <row r="54">
          <cell r="A54" t="str">
            <v>1273447LUINO</v>
          </cell>
        </row>
        <row r="55">
          <cell r="A55" t="str">
            <v>1279463Politecnico di Milano</v>
          </cell>
        </row>
        <row r="56">
          <cell r="A56" t="str">
            <v>1282320Università del Piemonte Orientale</v>
          </cell>
        </row>
        <row r="57">
          <cell r="A57" t="str">
            <v>1294499COMUNITA' MONTANA LARIO ORIENTALE - VALLE SAN MARTINO</v>
          </cell>
        </row>
        <row r="58">
          <cell r="A58" t="str">
            <v>1294499LECCO</v>
          </cell>
        </row>
        <row r="59">
          <cell r="A59" t="str">
            <v>1305496LA CLESSIDRA SOCIETA' COOPERATIVA SOCIALE</v>
          </cell>
        </row>
        <row r="60">
          <cell r="A60" t="str">
            <v>1305496IL SENTIERO SOCIETA' COOPERATIVA SOCIALE</v>
          </cell>
        </row>
        <row r="61">
          <cell r="A61" t="str">
            <v>1305496COOPERATIVA SOCIALE SIM-PATIA - SOCIETA' COOPERATIVA</v>
          </cell>
        </row>
        <row r="62">
          <cell r="A62" t="str">
            <v>1316605Camera di Commercio del Verbano Cusio Ossola</v>
          </cell>
        </row>
        <row r="63">
          <cell r="A63" t="str">
            <v>1316605Camera di Commercio Industria Artigianato Agricoltura di Novara</v>
          </cell>
        </row>
        <row r="64">
          <cell r="A64" t="str">
            <v>1316605Camera di Commercio Industria Artigianato Agricoltura di Varese</v>
          </cell>
        </row>
        <row r="65">
          <cell r="A65" t="str">
            <v>1321185Gestione Governativa Navigazione Laghi</v>
          </cell>
        </row>
        <row r="66">
          <cell r="A66" t="str">
            <v>1321185Regione Lombardia</v>
          </cell>
        </row>
        <row r="67">
          <cell r="A67" t="str">
            <v>1321273Regione Lombardia</v>
          </cell>
        </row>
        <row r="68">
          <cell r="A68" t="str">
            <v>1321273EUROPAEISCHE AKADEMIE BOZEN AUF ITALIENISCH "ACCADEMIA EUROPEA  DI BOLZANO " AUF LADINISCH "ACADEMIA EUROPEICA BULSAN" AUF ENGLISCH "EUROPEAN ACADEMY OF BOZEN-BOLZANO"</v>
          </cell>
        </row>
        <row r="69">
          <cell r="A69" t="str">
            <v>1323787Università degli Studi dell'Insubria</v>
          </cell>
        </row>
        <row r="70">
          <cell r="A70" t="str">
            <v>1323787UNIVERSITA' CARLO CATTANEO - LIUC</v>
          </cell>
        </row>
        <row r="71">
          <cell r="A71" t="str">
            <v>1325354Comune di Macugnaga</v>
          </cell>
        </row>
        <row r="72">
          <cell r="A72" t="str">
            <v>1331921NOI S.P.A. % NOI A.G.</v>
          </cell>
        </row>
        <row r="73">
          <cell r="A73" t="str">
            <v>1344345CONSORZIO INTERCOMUNALE SERVIZI SOCIALI OSSOLA</v>
          </cell>
        </row>
        <row r="74">
          <cell r="A74" t="str">
            <v>1344345CENTRO DI RICERCA E DOCUMENTAZIONE LUIGI EINAUDI</v>
          </cell>
        </row>
        <row r="75">
          <cell r="A75" t="str">
            <v>1369655Camera di Commercio di Como-Lecco</v>
          </cell>
        </row>
        <row r="76">
          <cell r="A76" t="str">
            <v>1369655Unindustria Como</v>
          </cell>
        </row>
        <row r="77">
          <cell r="A77" t="str">
            <v>1369655Università Commerciale Luigi Bocconi</v>
          </cell>
        </row>
        <row r="78">
          <cell r="A78" t="str">
            <v>1375999ENTE DI GESTIONE DELLE AREE PROTETTE DEL TICINO E DEL LAGO MAGGIORE</v>
          </cell>
        </row>
        <row r="79">
          <cell r="A79" t="str">
            <v>1378409Comune di Domodossola</v>
          </cell>
        </row>
        <row r="80">
          <cell r="A80" t="str">
            <v>1380764Regione Autonoma Valle d'Aosta</v>
          </cell>
        </row>
        <row r="81">
          <cell r="A81" t="str">
            <v>1380764Fondazione Montagna sicura - Montagne sûre</v>
          </cell>
        </row>
        <row r="82">
          <cell r="A82" t="str">
            <v>1380764Agenzia regionale per la protezione dell'ambiente della Valle d'Aosta</v>
          </cell>
        </row>
        <row r="83">
          <cell r="A83" t="str">
            <v>1380764Politecnico di Torino</v>
          </cell>
        </row>
        <row r="84">
          <cell r="A84" t="str">
            <v>1380764Institut Agricole Régional</v>
          </cell>
        </row>
        <row r="85">
          <cell r="A85" t="str">
            <v>1383036Università degli Studi dell'Insubria</v>
          </cell>
        </row>
        <row r="86">
          <cell r="A86" t="str">
            <v>1383036Università del Piemonte Orientale</v>
          </cell>
        </row>
        <row r="87">
          <cell r="A87" t="str">
            <v>1384281Regione Lombardia</v>
          </cell>
        </row>
        <row r="88">
          <cell r="A88" t="str">
            <v>1384281ENTE PARCO REGIONALE CAMPO DEI FIORI</v>
          </cell>
        </row>
        <row r="89">
          <cell r="A89" t="str">
            <v>1384281CLUB ALPINO ITALIANO REGIONE LOMBARDIA IN SIGLA CAI LOMBARDIA</v>
          </cell>
        </row>
        <row r="90">
          <cell r="A90" t="str">
            <v>1385474Università degli Studi di Pavia</v>
          </cell>
        </row>
        <row r="91">
          <cell r="A91" t="str">
            <v>1385474Università del Piemonte Orientale</v>
          </cell>
        </row>
        <row r="92">
          <cell r="A92" t="str">
            <v>1385625Politecnico di Milano</v>
          </cell>
        </row>
        <row r="93">
          <cell r="A93" t="str">
            <v>1385695FONDAZIONE FOJANINI DI STUDI SUPERIORI AZIENDA AGRICOLA</v>
          </cell>
        </row>
        <row r="94">
          <cell r="A94" t="str">
            <v>1385695VALTELLINA DI SONDRIO</v>
          </cell>
        </row>
        <row r="95">
          <cell r="A95" t="str">
            <v>1390371Institut Agricole Régional</v>
          </cell>
        </row>
        <row r="96">
          <cell r="A96" t="str">
            <v>1393207Camera di Commercio del Verbano Cusio Ossola</v>
          </cell>
        </row>
        <row r="97">
          <cell r="A97" t="str">
            <v>1393207Camera di Commercio Industria Artigianato Agricoltura di Varese</v>
          </cell>
        </row>
        <row r="98">
          <cell r="A98" t="str">
            <v>1393207Camera di Commercio Industria Artigianato Agricoltura di Novara</v>
          </cell>
        </row>
        <row r="99">
          <cell r="A99" t="str">
            <v>1394431S.C.R.L. (SOCIETA' CONSORTILE A RESPONSABILITA' LIMITATA) DENOMI NATA DISTRETTO TURISTICO DEI LAGHI - SOCIETA' CONSORTILE A RESPONSABILITA' LIMITATA</v>
          </cell>
        </row>
        <row r="100">
          <cell r="A100" t="str">
            <v>1394913VALTELLINA DI SONDRIO</v>
          </cell>
        </row>
        <row r="101">
          <cell r="A101" t="str">
            <v>1394913FONDAZIONE FOJANINI DI STUDI SUPERIORI AZIENDA AGRICOLA</v>
          </cell>
        </row>
        <row r="102">
          <cell r="A102" t="str">
            <v>1394913CHIURO</v>
          </cell>
        </row>
        <row r="103">
          <cell r="A103" t="str">
            <v>1395195Comunità di Sant Egidio Piemonte Onlus</v>
          </cell>
        </row>
        <row r="104">
          <cell r="A104" t="str">
            <v>1395195Fondazione Circolo dei lettori</v>
          </cell>
        </row>
        <row r="105">
          <cell r="A105" t="str">
            <v>1395195SCUOLA - COMUNITA' - IMPRESA</v>
          </cell>
        </row>
        <row r="106">
          <cell r="A106" t="str">
            <v>1395362ASSOCIATION REGIONALE ELEVEURS VALDOTAINS</v>
          </cell>
        </row>
        <row r="107">
          <cell r="A107" t="str">
            <v>1395717Camera di Commercio del Verbano Cusio Ossola</v>
          </cell>
        </row>
        <row r="108">
          <cell r="A108" t="str">
            <v>1395717Camera di Commercio Industria Artigianato Agricoltura di Varese</v>
          </cell>
        </row>
        <row r="109">
          <cell r="A109" t="str">
            <v>1395835AZIENDA SOCIO SANITARIA TERRITORIALE DELLA VALTELLINA E DELL'ALTO LARIO</v>
          </cell>
        </row>
        <row r="110">
          <cell r="A110" t="str">
            <v>1397751PROVINCIA DI COMO</v>
          </cell>
        </row>
        <row r="111">
          <cell r="A111" t="str">
            <v>1397751Provincia di Varese</v>
          </cell>
        </row>
        <row r="112">
          <cell r="A112" t="str">
            <v>1397751Regione Lombardia</v>
          </cell>
        </row>
        <row r="113">
          <cell r="A113" t="str">
            <v>1397751UNIVERSITA ' CARLO CATTANEO - LIUC</v>
          </cell>
        </row>
        <row r="114">
          <cell r="A114" t="str">
            <v>1398444UNIVERSITA ' CARLO CATTANEO - LIUC</v>
          </cell>
        </row>
        <row r="115">
          <cell r="A115" t="str">
            <v>1398481Consiglio Nazionale delle Ricerche</v>
          </cell>
        </row>
        <row r="116">
          <cell r="A116" t="str">
            <v>1399682Università del Piemonte Orientale</v>
          </cell>
        </row>
        <row r="117">
          <cell r="A117" t="str">
            <v>1399682IUSEFor</v>
          </cell>
        </row>
        <row r="118">
          <cell r="A118" t="str">
            <v>1399682Associazione Didee - arti e comunicazione</v>
          </cell>
        </row>
        <row r="119">
          <cell r="A119" t="str">
            <v>1399682FONDAZIONE NUOVO TEATRO FARAGGIANA</v>
          </cell>
        </row>
        <row r="120">
          <cell r="A120" t="str">
            <v>1401574Università del Piemonte Orientale</v>
          </cell>
        </row>
        <row r="121">
          <cell r="A121" t="str">
            <v>1401574Politecnico di Torino</v>
          </cell>
        </row>
        <row r="122">
          <cell r="A122" t="str">
            <v>1401574Centro per la Conservazione ed il Restauro dei Beni Culturali "La Venaria Reale"</v>
          </cell>
        </row>
        <row r="123">
          <cell r="A123" t="str">
            <v>1401574CONFARTIGIANATO IMPRESE PIEMONTE ORIENTALE</v>
          </cell>
        </row>
        <row r="124">
          <cell r="A124" t="str">
            <v>1402799EUROPAEISCHE AKADEMIE BOZEN AUF ITALIENISCH "ACCADEMIA EUROPEA  DI BOLZANO " AUF LADINISCH "ACADEMIA EUROPEICA BULSAN" AUF ENGLISCH "EUROPEAN ACADEMY OF BOZEN-BOLZANO"</v>
          </cell>
        </row>
        <row r="125">
          <cell r="A125" t="str">
            <v>1402799Comune di Verbania</v>
          </cell>
        </row>
        <row r="126">
          <cell r="A126" t="str">
            <v>1402805EUROPAEISCHE AKADEMIE BOZEN AUF ITALIENISCH "ACCADEMIA EUROPEA  DI BOLZANO " AUF LADINISCH "ACADEMIA EUROPEICA BULSAN" AUF ENGLISCH "EUROPEAN ACADEMY OF BOZEN-BOLZANO"</v>
          </cell>
        </row>
        <row r="127">
          <cell r="A127" t="str">
            <v>1402805Regione Lombardia</v>
          </cell>
        </row>
        <row r="128">
          <cell r="A128" t="str">
            <v>1403909ATS DELLA BRIANZA</v>
          </cell>
        </row>
        <row r="129">
          <cell r="A129" t="str">
            <v>1403938Università degli Studi dell'Insubria</v>
          </cell>
        </row>
        <row r="130">
          <cell r="A130" t="str">
            <v>1403938UNIVERSITA' CARLO CATTANEO - LIUC</v>
          </cell>
        </row>
        <row r="131">
          <cell r="A131" t="str">
            <v>1404358COMO</v>
          </cell>
        </row>
        <row r="132">
          <cell r="A132" t="str">
            <v>1404365Agenzia per l'Energia Alto Adige - CasaClima</v>
          </cell>
        </row>
        <row r="133">
          <cell r="A133" t="str">
            <v>1404365EURAC research - Istituto per le Energie Rinnovabili</v>
          </cell>
        </row>
        <row r="134">
          <cell r="A134" t="str">
            <v>1404379Politecnico di Milano</v>
          </cell>
        </row>
        <row r="135">
          <cell r="A135" t="str">
            <v>1404411Arpa Piemonte</v>
          </cell>
        </row>
        <row r="136">
          <cell r="A136" t="str">
            <v>1404436Fondazione Bruno Kessler</v>
          </cell>
        </row>
        <row r="137">
          <cell r="A137" t="str">
            <v>1404436Politecnico di Milano</v>
          </cell>
        </row>
        <row r="138">
          <cell r="A138" t="str">
            <v>1404436Lecco</v>
          </cell>
        </row>
        <row r="139">
          <cell r="A139" t="str">
            <v>1404436Regione Lombardia</v>
          </cell>
        </row>
        <row r="140">
          <cell r="A140" t="str">
            <v>1404532FONDAZIONE POLITECNICO DI MILANO</v>
          </cell>
        </row>
        <row r="141">
          <cell r="A141" t="str">
            <v>1404532Consiglio Nazionale delle Ricerche</v>
          </cell>
        </row>
        <row r="142">
          <cell r="A142" t="str">
            <v>1404532Politecnico di Milano</v>
          </cell>
        </row>
        <row r="143">
          <cell r="A143" t="str">
            <v>1404572Regione Lombardia</v>
          </cell>
        </row>
        <row r="144">
          <cell r="A144" t="str">
            <v>1404572Politecnico di Milano</v>
          </cell>
        </row>
        <row r="145">
          <cell r="A145" t="str">
            <v>1404572Università degli Studi di Milano</v>
          </cell>
        </row>
        <row r="146">
          <cell r="A146" t="str">
            <v>1404572PIURO</v>
          </cell>
        </row>
        <row r="147">
          <cell r="A147" t="str">
            <v>1404572Università degli Studi di Milano - Bicocca</v>
          </cell>
        </row>
        <row r="148">
          <cell r="A148" t="str">
            <v>1404572FONDAZIONE POLITECNICO DI MILANO</v>
          </cell>
        </row>
        <row r="149">
          <cell r="A149" t="str">
            <v>1404572VALCHIAVENNA</v>
          </cell>
        </row>
        <row r="150">
          <cell r="A150" t="str">
            <v>1404572Associazione Italo Svizzera per gli Scavi di Piuro</v>
          </cell>
        </row>
        <row r="151">
          <cell r="A151" t="str">
            <v>1405441Consiglio Nazionale delle Ricerche</v>
          </cell>
        </row>
        <row r="152">
          <cell r="A152" t="str">
            <v>1406520Camera di Commercio di Como-Lecco</v>
          </cell>
        </row>
        <row r="153">
          <cell r="A153" t="str">
            <v>1406520Università Commerciale Luigi Bocconi</v>
          </cell>
        </row>
        <row r="154">
          <cell r="A154" t="str">
            <v>1406520Unindustria Como</v>
          </cell>
        </row>
        <row r="155">
          <cell r="A155" t="str">
            <v>1408656UNIVERSITA' CARLO CATTANEO - LIUC</v>
          </cell>
        </row>
        <row r="156">
          <cell r="A156" t="str">
            <v>1409270UNITE DES COMMUNES VALDÔTAINES GRAND-COMBIN</v>
          </cell>
        </row>
        <row r="157">
          <cell r="A157" t="str">
            <v>1412051comune di Saint-Rhémy-en-Bosses</v>
          </cell>
        </row>
        <row r="158">
          <cell r="A158" t="str">
            <v>1412051Fondazione Montagna sicura - Montagne sûre</v>
          </cell>
        </row>
        <row r="159">
          <cell r="A159" t="str">
            <v>1418527Comunità di Sant Egidio Piemonte Onlus</v>
          </cell>
        </row>
        <row r="160">
          <cell r="A160" t="str">
            <v>1418527Associazione Next Level</v>
          </cell>
        </row>
        <row r="161">
          <cell r="A161" t="str">
            <v>1418527SCUOLA - COMUNITA' - IMPRESA</v>
          </cell>
        </row>
        <row r="162">
          <cell r="A162" t="str">
            <v>1418527Fondazione Circolo dei lettori</v>
          </cell>
        </row>
        <row r="163">
          <cell r="A163" t="str">
            <v>1426104Provincia di Varese</v>
          </cell>
        </row>
        <row r="164">
          <cell r="A164" t="str">
            <v>1426104VALMOREA</v>
          </cell>
        </row>
        <row r="165">
          <cell r="A165" t="str">
            <v>1426352Regione Lombardia</v>
          </cell>
        </row>
        <row r="166">
          <cell r="A166" t="str">
            <v>1426352Agenzia del trasporto pubblico del bacino di Como, Lecco e Varese</v>
          </cell>
        </row>
        <row r="167">
          <cell r="A167" t="str">
            <v>1431064Fondazione Opera Pia Dr. Domenico Uccelli Onlus</v>
          </cell>
        </row>
        <row r="168">
          <cell r="A168" t="str">
            <v>1432091DMO</v>
          </cell>
        </row>
        <row r="169">
          <cell r="A169" t="str">
            <v>1432091AMP</v>
          </cell>
        </row>
        <row r="170">
          <cell r="A170" t="str">
            <v>1445519IL SENTIERO SOCIETA' COOPERATIVA SOCIALE</v>
          </cell>
        </row>
        <row r="171">
          <cell r="A171" t="str">
            <v>1445519LA CLESSIDRA SOCIETA' COOPERATIVA SOCIALE</v>
          </cell>
        </row>
        <row r="172">
          <cell r="A172" t="str">
            <v>1446369ALFA S.R.L.</v>
          </cell>
        </row>
        <row r="173">
          <cell r="A173" t="str">
            <v>1447547Camera di Commercio Industria Artigianato Agricoltura di Novara</v>
          </cell>
        </row>
        <row r="174">
          <cell r="A174" t="str">
            <v>1447547Camera di Commercio Industria Artigianato Agricoltura di Varese</v>
          </cell>
        </row>
        <row r="175">
          <cell r="A175" t="str">
            <v>1447547Camera di Commercio del Verbano Cusio Ossola</v>
          </cell>
        </row>
        <row r="176">
          <cell r="A176" t="str">
            <v>1447633Camera di Commercio del Verbano Cusio Ossola</v>
          </cell>
        </row>
        <row r="177">
          <cell r="A177" t="str">
            <v>1447633Camera di Commercio Industria Artigianato Agricoltura di Novara</v>
          </cell>
        </row>
        <row r="178">
          <cell r="A178" t="str">
            <v>1447633Camera di Commercio Industria Artigianato Agricoltura di Varese</v>
          </cell>
        </row>
        <row r="179">
          <cell r="A179" t="str">
            <v>1450113FONDAZIONE POLITECNICO DI MILANO</v>
          </cell>
        </row>
        <row r="180">
          <cell r="A180" t="str">
            <v>1450113Politecnico di Milano</v>
          </cell>
        </row>
        <row r="181">
          <cell r="A181" t="str">
            <v>1450721UNIONE MONTANA ALTA OSSOLA</v>
          </cell>
        </row>
        <row r="182">
          <cell r="A182" t="str">
            <v>1451171Ente di gestione delle aree protette dell'Ossola</v>
          </cell>
        </row>
        <row r="183">
          <cell r="A183" t="str">
            <v>1451171Ente per la Gestione del Parco Regionale di Montevecchia e della Valle del Curone</v>
          </cell>
        </row>
        <row r="184">
          <cell r="A184" t="str">
            <v>1451171PARCO MONTE BARRO</v>
          </cell>
        </row>
        <row r="185">
          <cell r="A185" t="str">
            <v>1451171CERVIM</v>
          </cell>
        </row>
        <row r="186">
          <cell r="A186" t="str">
            <v>1452014Associazione Didee - arti e comunicazione</v>
          </cell>
        </row>
        <row r="187">
          <cell r="A187" t="str">
            <v>1452014OLTRE LE QUINTE A.P.S.</v>
          </cell>
        </row>
        <row r="188">
          <cell r="A188" t="str">
            <v>1452014IUSEFor</v>
          </cell>
        </row>
        <row r="189">
          <cell r="A189" t="str">
            <v>1452014Università del Piemonte Orientale</v>
          </cell>
        </row>
        <row r="190">
          <cell r="A190" t="str">
            <v>1452014FONDAZIONE NUOVO TEATRO FARAGGIANA</v>
          </cell>
        </row>
        <row r="191">
          <cell r="A191" t="str">
            <v>1453095LARIOINTELVESE</v>
          </cell>
        </row>
        <row r="192">
          <cell r="A192" t="str">
            <v>1453095Comune di Centro Valle Intelvi</v>
          </cell>
        </row>
        <row r="193">
          <cell r="A193" t="str">
            <v>1453095Università degli Studi di Milano</v>
          </cell>
        </row>
        <row r="194">
          <cell r="A194" t="str">
            <v>1453283Provincia di Novara</v>
          </cell>
        </row>
        <row r="195">
          <cell r="A195" t="str">
            <v>1453815LUINO</v>
          </cell>
        </row>
        <row r="196">
          <cell r="A196" t="str">
            <v>1453958Politecnico di Milano</v>
          </cell>
        </row>
        <row r="197">
          <cell r="A197" t="str">
            <v>1458772Provincia di Lecco</v>
          </cell>
        </row>
        <row r="198">
          <cell r="A198" t="str">
            <v>1458772COMUNITA' MONTANA VALSASSINA VALVARRONE VAL D'ESINO E RIVIERA</v>
          </cell>
        </row>
        <row r="199">
          <cell r="A199" t="str">
            <v>1459619COMUNITA' MONTANA VALLI DEL LARIO E DEL CERESIO</v>
          </cell>
        </row>
        <row r="200">
          <cell r="A200" t="str">
            <v>1460114PROVINCIA DI LECCO</v>
          </cell>
        </row>
        <row r="201">
          <cell r="A201" t="str">
            <v>1460144COMUNITA' MONTANA DELLA VALCHIAVENNA</v>
          </cell>
        </row>
        <row r="202">
          <cell r="A202" t="str">
            <v>1460681Provincia del Verbano Cusio Ossola</v>
          </cell>
        </row>
        <row r="203">
          <cell r="A203" t="str">
            <v>1460681S.C.R.L. (SOCIETA' CONSORTILE A RESPONSABILITA' LIMITATA) DENOMI NATA DISTRETTO TURISTICO DEI LAGHI - SOCIETA' CONSORTILE A RESPONSABILITA' LIMITATA</v>
          </cell>
        </row>
        <row r="204">
          <cell r="A204" t="str">
            <v>1460822FONDAZIONE POLITECNICO DI MILANO</v>
          </cell>
        </row>
        <row r="205">
          <cell r="A205" t="str">
            <v>1461161CHIESA IN VALMALENCO</v>
          </cell>
        </row>
        <row r="206">
          <cell r="A206" t="str">
            <v>1461161TORRE DI SANTA MARIA</v>
          </cell>
        </row>
        <row r="207">
          <cell r="A207" t="str">
            <v>1461161LANZADA</v>
          </cell>
        </row>
        <row r="208">
          <cell r="A208" t="str">
            <v>1461161U.C. DELLA VALMALENCO</v>
          </cell>
        </row>
        <row r="209">
          <cell r="A209" t="str">
            <v>1461161Università degli Studi di Milano</v>
          </cell>
        </row>
        <row r="210">
          <cell r="A210" t="str">
            <v>1461161CASPOGGIO</v>
          </cell>
        </row>
        <row r="211">
          <cell r="A211" t="str">
            <v>1461161SPRIANA</v>
          </cell>
        </row>
        <row r="212">
          <cell r="A212" t="str">
            <v>1461355ENTE VILLA CARLOTTA</v>
          </cell>
        </row>
        <row r="213">
          <cell r="A213" t="str">
            <v>1461355Associazione per la protezione del patrimonio artistico e culturale Valle Intelvi - APPACUVI</v>
          </cell>
        </row>
        <row r="214">
          <cell r="A214" t="str">
            <v>1461401Ente Regionale per i Servizi all'Agricoltura e alle Foreste - ERSAF</v>
          </cell>
        </row>
        <row r="215">
          <cell r="A215" t="str">
            <v>1461401ARGEGNO</v>
          </cell>
        </row>
        <row r="216">
          <cell r="A216" t="str">
            <v>1461401SCHIGNANO</v>
          </cell>
        </row>
        <row r="217">
          <cell r="A217" t="str">
            <v>1461401LARIOINTELVESE</v>
          </cell>
        </row>
        <row r="218">
          <cell r="A218" t="str">
            <v>1461401CLAINO CON OSTENO</v>
          </cell>
        </row>
        <row r="219">
          <cell r="A219" t="str">
            <v>1462131Comune di Cogne</v>
          </cell>
        </row>
        <row r="220">
          <cell r="A220" t="str">
            <v>1462131Comune di Saint-Marcel</v>
          </cell>
        </row>
        <row r="221">
          <cell r="A221" t="str">
            <v>1462131Comune di Rhêmes-Saint-Georges</v>
          </cell>
        </row>
        <row r="222">
          <cell r="A222" t="str">
            <v>1462131Fondation Grand Paradis</v>
          </cell>
        </row>
        <row r="223">
          <cell r="A223" t="str">
            <v>1468280NOI S.P.A. % NOI A.G.</v>
          </cell>
        </row>
        <row r="224">
          <cell r="A224" t="str">
            <v>1469166VALCHIAVENNA</v>
          </cell>
        </row>
        <row r="225">
          <cell r="A225" t="str">
            <v>1469269Camera di Commercio Como-Lecco</v>
          </cell>
        </row>
        <row r="226">
          <cell r="A226" t="str">
            <v>1475877Università Cattolica del Sacro Cuore</v>
          </cell>
        </row>
        <row r="227">
          <cell r="A227" t="str">
            <v>1476521CONSORZIO INTERCOMUNALE SERVIZI SOCIALI OSSOLA</v>
          </cell>
        </row>
        <row r="228">
          <cell r="A228" t="str">
            <v>1481471Fondazione Opera Pia Dr. Domenico Uccelli Onlus</v>
          </cell>
        </row>
        <row r="229">
          <cell r="A229" t="str">
            <v>1481471Università Cattolica del Sacro Cuore</v>
          </cell>
        </row>
        <row r="230">
          <cell r="A230" t="str">
            <v>1481471RSA MASSIMO LAGOSTINA ONLUS</v>
          </cell>
        </row>
        <row r="231">
          <cell r="A231" t="str">
            <v>1481471FONDAZIONE ISTITUTO SACRA FAMIGLIA ONLUS</v>
          </cell>
        </row>
        <row r="232">
          <cell r="A232" t="str">
            <v>1483127ENTE DI GESTIONE DELLE AREE PROTETTE DEL TICINO E DEL LAGO MAGGIORE</v>
          </cell>
        </row>
        <row r="233">
          <cell r="A233" t="str">
            <v>1483127Università degli Studi dell'Insubria</v>
          </cell>
        </row>
        <row r="234">
          <cell r="A234" t="str">
            <v>1486150ASSOCIATION REGIONALE ELEVEURS VALDOTAINS</v>
          </cell>
        </row>
        <row r="235">
          <cell r="A235" t="str">
            <v>1486183ASSOCIATION REGIONALE ELEVEURS VALDOTAINS</v>
          </cell>
        </row>
        <row r="236">
          <cell r="A236" t="str">
            <v>1488222LECCO</v>
          </cell>
        </row>
        <row r="237">
          <cell r="A237" t="str">
            <v>1490251COMUNITA' MONTANA VALLI DEL LARIO E DEL CERESIO</v>
          </cell>
        </row>
        <row r="238">
          <cell r="A238" t="str">
            <v>1493092Università degli Studi dell'Insubria</v>
          </cell>
        </row>
        <row r="239">
          <cell r="A239" t="str">
            <v>1497472LA CLESSIDRA SOCIETA' COOPERATIVA SOCIALE</v>
          </cell>
        </row>
        <row r="240">
          <cell r="A240" t="str">
            <v>1497472COOPERATIVA SOCIALE SIM-PATIA - SOCIETA' COOPERATIVA</v>
          </cell>
        </row>
        <row r="241">
          <cell r="A241" t="str">
            <v>1497472IL SENTIERO SOCIETA' COOPERATIVA SOCIALE</v>
          </cell>
        </row>
        <row r="242">
          <cell r="A242" t="str">
            <v>1498150LUINO</v>
          </cell>
        </row>
        <row r="243">
          <cell r="A243" t="str">
            <v>1498204LUINO</v>
          </cell>
        </row>
        <row r="244">
          <cell r="A244" t="str">
            <v>1498229LUINO</v>
          </cell>
        </row>
        <row r="245">
          <cell r="A245" t="str">
            <v>1499255LUINO</v>
          </cell>
        </row>
        <row r="246">
          <cell r="A246" t="str">
            <v>1505355LUINO</v>
          </cell>
        </row>
        <row r="247">
          <cell r="A247" t="str">
            <v>1506209Ente Regionale per i Servizi all'Agricoltura e alle Foreste - ERSAF</v>
          </cell>
        </row>
        <row r="248">
          <cell r="A248" t="str">
            <v>1506209AZIENDA DI PROMOZIONE E SVILUPPO TURISTICO DI LIVIGNO S.R.L. (IN ACRONIMO "A.P.T. S.R.L.")</v>
          </cell>
        </row>
        <row r="249">
          <cell r="A249" t="str">
            <v>1506209Regione Lombardia</v>
          </cell>
        </row>
        <row r="250">
          <cell r="A250" t="str">
            <v>1506209Università degli Studi di Milano</v>
          </cell>
        </row>
        <row r="251">
          <cell r="A251" t="str">
            <v>1506209ASSOCIAZIONE FORTE DI BARD</v>
          </cell>
        </row>
        <row r="252">
          <cell r="A252" t="str">
            <v>1506945LUINO</v>
          </cell>
        </row>
        <row r="253">
          <cell r="A253" t="str">
            <v>1507212AZIENDA SOCIO SANITARIA TERRITORIALE DELLA VALTELLINA E DELL'ALTO LARIO</v>
          </cell>
        </row>
        <row r="254">
          <cell r="A254" t="str">
            <v>1507844LUINO</v>
          </cell>
        </row>
        <row r="255">
          <cell r="A255" t="str">
            <v>1514382Links - LEADING INNOVATION &amp; KNOWLEDGE FOR SOCIETY            DELL'INFORMAZIONE E DELLE TELECOMUNICAZIONI</v>
          </cell>
        </row>
        <row r="256">
          <cell r="A256" t="str">
            <v>1514382Institut Agricole Régional</v>
          </cell>
        </row>
        <row r="257">
          <cell r="A257" t="str">
            <v>1519729Università degli Studi di Milano</v>
          </cell>
        </row>
        <row r="258">
          <cell r="A258" t="str">
            <v>1519729FONDAZIONE POLITECNICO DI MILANO</v>
          </cell>
        </row>
        <row r="259">
          <cell r="A259" t="str">
            <v>1519729Politecnico di Milano</v>
          </cell>
        </row>
        <row r="260">
          <cell r="A260" t="str">
            <v>1520619ASSOCIATION REGIONALE ELEVEURS VALDOTAINS</v>
          </cell>
        </row>
        <row r="261">
          <cell r="A261" t="str">
            <v>1542088LUINO</v>
          </cell>
        </row>
        <row r="262">
          <cell r="A262" t="str">
            <v>1548221unione del Lago Maggiore</v>
          </cell>
        </row>
        <row r="263">
          <cell r="A263" t="str">
            <v>1548221UNIONE MONTANA VALLE VIGEZZO</v>
          </cell>
        </row>
        <row r="264">
          <cell r="A264" t="str">
            <v>1561841LECCO</v>
          </cell>
        </row>
        <row r="265">
          <cell r="A265" t="str">
            <v>1589018Consorzio del Ticino</v>
          </cell>
        </row>
        <row r="266">
          <cell r="A266" t="str">
            <v>1607864ENTE PARCO REGIONALE CAMPO DEI FIORI</v>
          </cell>
        </row>
        <row r="267">
          <cell r="A267" t="str">
            <v>1659524Comune di Centro Valle Intelvi</v>
          </cell>
        </row>
        <row r="268">
          <cell r="A268" t="str">
            <v>1666316LARIOINTELVESE</v>
          </cell>
        </row>
        <row r="269">
          <cell r="A269" t="str">
            <v>1667065Consorzio del Ticino</v>
          </cell>
        </row>
        <row r="270">
          <cell r="A270" t="str">
            <v>1667369Consiglio Nazionale delle Ricerche</v>
          </cell>
        </row>
        <row r="271">
          <cell r="A271" t="str">
            <v>1672813DMO</v>
          </cell>
        </row>
        <row r="272">
          <cell r="A272" t="str">
            <v>1689255Provincia di Varese</v>
          </cell>
        </row>
        <row r="273">
          <cell r="A273" t="str">
            <v>1701916CLUB ALPINO ITALIANO REGIONE LOMBARDIA IN SIGLA CAI LOMBARDIA</v>
          </cell>
        </row>
      </sheetData>
      <sheetData sheetId="4" refreshError="1"/>
      <sheetData sheetId="5" refreshError="1"/>
      <sheetData sheetId="6">
        <row r="1">
          <cell r="A1" t="str">
            <v>1161478Università degli Studi dell'Insubria</v>
          </cell>
        </row>
        <row r="2">
          <cell r="A2" t="str">
            <v>1161478Università del Piemonte Orientale</v>
          </cell>
        </row>
        <row r="3">
          <cell r="A3" t="str">
            <v>1383036Università degli Studi dell'Insubria</v>
          </cell>
        </row>
        <row r="4">
          <cell r="A4" t="str">
            <v>1383036Università del Piemonte Orientale</v>
          </cell>
        </row>
        <row r="5">
          <cell r="A5" t="str">
            <v>1323787UNIVERSITA' CARLO CATTANEO - LIUC</v>
          </cell>
        </row>
        <row r="6">
          <cell r="A6" t="str">
            <v>1323787Università degli Studi dell'Insubria</v>
          </cell>
        </row>
        <row r="7">
          <cell r="A7" t="str">
            <v>1403938UNIVERSITA' CARLO CATTANEO - LIUC</v>
          </cell>
        </row>
        <row r="8">
          <cell r="A8" t="str">
            <v>1403938Università degli Studi dell'Insubria</v>
          </cell>
        </row>
        <row r="9">
          <cell r="A9" t="str">
            <v>1451171CERVIM</v>
          </cell>
        </row>
        <row r="10">
          <cell r="A10" t="str">
            <v>1451171Ente di gestione delle aree protette dell'Ossola</v>
          </cell>
        </row>
        <row r="11">
          <cell r="A11" t="str">
            <v>1451171Ente per la Gestione del Parco Regionale di Montevecchia e della Valle del Curone</v>
          </cell>
        </row>
        <row r="12">
          <cell r="A12" t="str">
            <v>1451171PARCO MONTE BARRO</v>
          </cell>
        </row>
        <row r="13">
          <cell r="A13" t="str">
            <v>1321185Gestione Governativa Navigazione Laghi</v>
          </cell>
        </row>
        <row r="14">
          <cell r="A14" t="str">
            <v>1321185Regione Lombardia</v>
          </cell>
        </row>
        <row r="15">
          <cell r="A15" t="str">
            <v>1426352Regione Lombardia</v>
          </cell>
        </row>
        <row r="16">
          <cell r="A16" t="str">
            <v>1469166VALCHIAVENNA</v>
          </cell>
        </row>
        <row r="17">
          <cell r="A17" t="str">
            <v>1401574Centro per la Conservazione ed il Restauro dei Beni Culturali "La Venaria Reale"</v>
          </cell>
        </row>
        <row r="18">
          <cell r="A18" t="str">
            <v>1401574CONFARTIGIANATO IMPRESE PIEMONTE ORIENTALE</v>
          </cell>
        </row>
        <row r="19">
          <cell r="A19" t="str">
            <v>1401574Politecnico di Torino</v>
          </cell>
        </row>
        <row r="20">
          <cell r="A20" t="str">
            <v>1401574Università del Piemonte Orientale</v>
          </cell>
        </row>
        <row r="21">
          <cell r="A21" t="str">
            <v>1244182Università degli Studi di Milano</v>
          </cell>
        </row>
        <row r="22">
          <cell r="A22" t="str">
            <v>1453095Comune di Centro Valle Intelvi</v>
          </cell>
        </row>
        <row r="23">
          <cell r="A23" t="str">
            <v>1453095LARIOINTELVESE</v>
          </cell>
        </row>
        <row r="24">
          <cell r="A24" t="str">
            <v>1659524Comune di Centro Valle Intelvi</v>
          </cell>
        </row>
        <row r="25">
          <cell r="A25" t="str">
            <v>1190374Arpa Piemonte</v>
          </cell>
        </row>
        <row r="26">
          <cell r="A26" t="str">
            <v>1190374Regione Lombardia</v>
          </cell>
        </row>
        <row r="27">
          <cell r="A27" t="str">
            <v>1228019Regione Lombardia</v>
          </cell>
        </row>
        <row r="28">
          <cell r="A28" t="str">
            <v>1228032FONDAZIONE POLITECNICO DI MILANO</v>
          </cell>
        </row>
        <row r="29">
          <cell r="A29" t="str">
            <v>1262654FONDAZIONE POLITECNICO DI MILANO</v>
          </cell>
        </row>
        <row r="30">
          <cell r="A30" t="str">
            <v>1404358COMO</v>
          </cell>
        </row>
        <row r="31">
          <cell r="A31" t="str">
            <v>1404379Politecnico di Milano</v>
          </cell>
        </row>
        <row r="32">
          <cell r="A32" t="str">
            <v>1404411Arpa Piemonte</v>
          </cell>
        </row>
        <row r="33">
          <cell r="A33" t="str">
            <v>1398481Consiglio Nazionale delle Ricerche</v>
          </cell>
        </row>
        <row r="34">
          <cell r="A34" t="str">
            <v>1266407Camera di Commercio del Verbano Cusio Ossola</v>
          </cell>
        </row>
        <row r="35">
          <cell r="A35" t="str">
            <v>1395717Camera di Commercio del Verbano Cusio Ossola</v>
          </cell>
        </row>
        <row r="36">
          <cell r="A36" t="str">
            <v>1447633Camera di Commercio Industria Artigianato Agricoltura di Varese</v>
          </cell>
        </row>
        <row r="37">
          <cell r="A37" t="str">
            <v>1393207Camera di Commercio del Verbano Cusio Ossola</v>
          </cell>
        </row>
        <row r="38">
          <cell r="A38" t="str">
            <v>1393207Camera di Commercio Industria Artigianato Agricoltura di Novara</v>
          </cell>
        </row>
        <row r="39">
          <cell r="A39" t="str">
            <v>1393207Camera di Commercio Industria Artigianato Agricoltura di Varese</v>
          </cell>
        </row>
        <row r="40">
          <cell r="A40" t="str">
            <v>1447547Camera di Commercio del Verbano Cusio Ossola</v>
          </cell>
        </row>
        <row r="41">
          <cell r="A41" t="str">
            <v>1447547Camera di Commercio Industria Artigianato Agricoltura di Novara</v>
          </cell>
        </row>
        <row r="42">
          <cell r="A42" t="str">
            <v>1447547Camera di Commercio Industria Artigianato Agricoltura di Varese</v>
          </cell>
        </row>
        <row r="43">
          <cell r="A43" t="str">
            <v>1385695FONDAZIONE FOJANINI DI STUDI SUPERIORI AZIENDA AGRICOLA</v>
          </cell>
        </row>
        <row r="44">
          <cell r="A44" t="str">
            <v>1385695VALTELLINA DI SONDRIO</v>
          </cell>
        </row>
        <row r="45">
          <cell r="A45" t="str">
            <v>1394913CHIURO</v>
          </cell>
        </row>
        <row r="46">
          <cell r="A46" t="str">
            <v>1394913FONDAZIONE FOJANINI DI STUDI SUPERIORI AZIENDA AGRICOLA</v>
          </cell>
        </row>
        <row r="47">
          <cell r="A47" t="str">
            <v>1394913VALTELLINA DI SONDRIO</v>
          </cell>
        </row>
        <row r="48">
          <cell r="A48" t="str">
            <v>1375999ENTE DI GESTIONE DELLE AREE PROTETTE DEL TICINO E DEL LAGO MAGGIORE</v>
          </cell>
        </row>
        <row r="49">
          <cell r="A49" t="str">
            <v>1483127ENTE DI GESTIONE DELLE AREE PROTETTE DEL TICINO E DEL LAGO MAGGIORE</v>
          </cell>
        </row>
        <row r="50">
          <cell r="A50" t="str">
            <v>1483127Università degli Studi dell'Insubria</v>
          </cell>
        </row>
        <row r="51">
          <cell r="A51" t="str">
            <v>1589018Consorzio del Ticino</v>
          </cell>
        </row>
        <row r="52">
          <cell r="A52" t="str">
            <v>1408656UNIVERSITA' CARLO CATTANEO - LIUC</v>
          </cell>
        </row>
        <row r="53">
          <cell r="A53" t="str">
            <v>1160998CENTRO RICERCA ARTE MUSICA SPETTACOLO SOCIETA' COOPERATIVA SOCIAL IN MODO ABBREVIATO CRAMS</v>
          </cell>
        </row>
        <row r="54">
          <cell r="A54" t="str">
            <v>1160998Need Institute</v>
          </cell>
        </row>
        <row r="55">
          <cell r="A55" t="str">
            <v>1184007Camera di Commercio Como-Lecco</v>
          </cell>
        </row>
        <row r="56">
          <cell r="A56" t="str">
            <v>1369655Camera di Commercio di Como-Lecco</v>
          </cell>
        </row>
        <row r="57">
          <cell r="A57" t="str">
            <v>1369655Unindustria Como</v>
          </cell>
        </row>
        <row r="58">
          <cell r="A58" t="str">
            <v>1369655Università Commerciale Luigi Bocconi</v>
          </cell>
        </row>
        <row r="59">
          <cell r="A59" t="str">
            <v>1406520Camera di Commercio di Como-Lecco</v>
          </cell>
        </row>
        <row r="60">
          <cell r="A60" t="str">
            <v>1406520Unindustria Como</v>
          </cell>
        </row>
        <row r="61">
          <cell r="A61" t="str">
            <v>1406520Università Commerciale Luigi Bocconi</v>
          </cell>
        </row>
        <row r="62">
          <cell r="A62" t="str">
            <v>1469269Camera di Commercio Como-Lecco</v>
          </cell>
        </row>
        <row r="63">
          <cell r="A63" t="str">
            <v>1210203Institut Agricole Régional</v>
          </cell>
        </row>
        <row r="64">
          <cell r="A64" t="str">
            <v>1259594Institut Agricole Régional</v>
          </cell>
        </row>
        <row r="65">
          <cell r="A65" t="str">
            <v>1514382Institut Agricole Régional</v>
          </cell>
        </row>
        <row r="66">
          <cell r="A66" t="str">
            <v>1514382Links - LEADING INNOVATION &amp; KNOWLEDGE FOR SOCIETY            DELL'INFORMAZIONE E DELLE TELECOMUNICAZIONI</v>
          </cell>
        </row>
        <row r="67">
          <cell r="A67" t="str">
            <v>1395362ASSOCIATION REGIONALE ELEVEURS VALDOTAINS</v>
          </cell>
        </row>
        <row r="68">
          <cell r="A68" t="str">
            <v>1486150ASSOCIATION REGIONALE ELEVEURS VALDOTAINS</v>
          </cell>
        </row>
        <row r="69">
          <cell r="A69" t="str">
            <v>1486183ASSOCIATION REGIONALE ELEVEURS VALDOTAINS</v>
          </cell>
        </row>
        <row r="70">
          <cell r="A70" t="str">
            <v>1520619ASSOCIATION REGIONALE ELEVEURS VALDOTAINS</v>
          </cell>
        </row>
        <row r="71">
          <cell r="A71" t="str">
            <v>1203057FONDAZIONE ISTITUTO SACRA FAMIGLIA ONLUS</v>
          </cell>
        </row>
        <row r="72">
          <cell r="A72" t="str">
            <v>1203128FONDAZIONE ISTITUTO SACRA FAMIGLIA ONLUS</v>
          </cell>
        </row>
        <row r="73">
          <cell r="A73" t="str">
            <v>1203128Fondazione Opera Pia Dr. Domenico Uccelli Onlus</v>
          </cell>
        </row>
        <row r="74">
          <cell r="A74" t="str">
            <v>1203128RSA MASSIMO LAGOSTINA ONLUS</v>
          </cell>
        </row>
        <row r="75">
          <cell r="A75" t="str">
            <v>1431064Fondazione Opera Pia Dr. Domenico Uccelli Onlus</v>
          </cell>
        </row>
        <row r="76">
          <cell r="A76" t="str">
            <v>1481471FONDAZIONE ISTITUTO SACRA FAMIGLIA ONLUS</v>
          </cell>
        </row>
        <row r="77">
          <cell r="A77" t="str">
            <v>1481471Fondazione Opera Pia Dr. Domenico Uccelli Onlus</v>
          </cell>
        </row>
        <row r="78">
          <cell r="A78" t="str">
            <v>1481471RSA MASSIMO LAGOSTINA ONLUS</v>
          </cell>
        </row>
        <row r="79">
          <cell r="A79" t="str">
            <v>1481471Università Cattolica del Sacro Cuore</v>
          </cell>
        </row>
        <row r="80">
          <cell r="A80" t="str">
            <v>1450113FONDAZIONE POLITECNICO DI MILANO</v>
          </cell>
        </row>
        <row r="81">
          <cell r="A81" t="str">
            <v>1253349Comune di Introd</v>
          </cell>
        </row>
        <row r="82">
          <cell r="A82" t="str">
            <v>1253349Fondation Grand Paradis</v>
          </cell>
        </row>
        <row r="83">
          <cell r="A83" t="str">
            <v>1462131Comune di Cogne</v>
          </cell>
        </row>
        <row r="84">
          <cell r="A84" t="str">
            <v>1462131Comune di Rhêmes-Saint-Georges</v>
          </cell>
        </row>
        <row r="85">
          <cell r="A85" t="str">
            <v>1462131Comune di Saint-Marcel</v>
          </cell>
        </row>
        <row r="86">
          <cell r="A86" t="str">
            <v>1462131Fondation Grand Paradis</v>
          </cell>
        </row>
        <row r="87">
          <cell r="A87" t="str">
            <v>1397751PROVINCIA DI COMO</v>
          </cell>
        </row>
        <row r="88">
          <cell r="A88" t="str">
            <v>1397751Provincia di Varese</v>
          </cell>
        </row>
        <row r="89">
          <cell r="A89" t="str">
            <v>1397751Regione Lombardia</v>
          </cell>
        </row>
        <row r="90">
          <cell r="A90" t="str">
            <v>1207108FONDAZIONE NUOVO TEATRO FARAGGIANA</v>
          </cell>
        </row>
        <row r="91">
          <cell r="A91" t="str">
            <v>1254443FONDAZIONE NUOVO TEATRO FARAGGIANA</v>
          </cell>
        </row>
        <row r="92">
          <cell r="A92" t="str">
            <v>1254443OLTRE LE QUINTE A.P.S.</v>
          </cell>
        </row>
        <row r="93">
          <cell r="A93" t="str">
            <v>1254443Università del Piemonte Orientale</v>
          </cell>
        </row>
        <row r="94">
          <cell r="A94" t="str">
            <v>1399682Associazione Didee - arti e comunicazione</v>
          </cell>
        </row>
        <row r="95">
          <cell r="A95" t="str">
            <v>1399682FONDAZIONE NUOVO TEATRO FARAGGIANA</v>
          </cell>
        </row>
        <row r="96">
          <cell r="A96" t="str">
            <v>1399682IUSEFor</v>
          </cell>
        </row>
        <row r="97">
          <cell r="A97" t="str">
            <v>1452014Associazione Didee - arti e comunicazione</v>
          </cell>
        </row>
        <row r="98">
          <cell r="A98" t="str">
            <v>1452014FONDAZIONE NUOVO TEATRO FARAGGIANA</v>
          </cell>
        </row>
        <row r="99">
          <cell r="A99" t="str">
            <v>1452014IUSEFor</v>
          </cell>
        </row>
        <row r="100">
          <cell r="A100" t="str">
            <v>1452014OLTRE LE QUINTE A.P.S.</v>
          </cell>
        </row>
        <row r="101">
          <cell r="A101" t="str">
            <v>1452014Università del Piemonte Orientale</v>
          </cell>
        </row>
        <row r="102">
          <cell r="A102" t="str">
            <v>1254036Consiglio Nazionale delle Ricerche</v>
          </cell>
        </row>
        <row r="103">
          <cell r="A103" t="str">
            <v>1254036FONDAZIONE POLITECNICO DI MILANO</v>
          </cell>
        </row>
        <row r="104">
          <cell r="A104" t="str">
            <v>1404532Consiglio Nazionale delle Ricerche</v>
          </cell>
        </row>
        <row r="105">
          <cell r="A105" t="str">
            <v>1460681Provincia del Verbano Cusio Ossola</v>
          </cell>
        </row>
        <row r="106">
          <cell r="A106" t="str">
            <v>1460681S.C.R.L. (SOCIETA' CONSORTILE A RESPONSABILITA' LIMITATA) DENOMI NATA DISTRETTO TURISTICO DEI LAGHI - SOCIETA' CONSORTILE A RESPONSABILITA' LIMITATA</v>
          </cell>
        </row>
        <row r="107">
          <cell r="A107" t="str">
            <v>1384281CLUB ALPINO ITALIANO REGIONE LOMBARDIA IN SIGLA CAI LOMBARDIA</v>
          </cell>
        </row>
        <row r="108">
          <cell r="A108" t="str">
            <v>1384281ENTE PARCO REGIONALE CAMPO DEI FIORI</v>
          </cell>
        </row>
        <row r="109">
          <cell r="A109" t="str">
            <v>1384281Regione Lombardia</v>
          </cell>
        </row>
        <row r="110">
          <cell r="A110" t="str">
            <v>1159528Provincia di Lecco</v>
          </cell>
        </row>
        <row r="111">
          <cell r="A111" t="str">
            <v>1458772COMUNITA' MONTANA VALSASSINA VALVARRONE VAL D'ESINO E RIVIERA</v>
          </cell>
        </row>
        <row r="112">
          <cell r="A112" t="str">
            <v>1458772Provincia di Lecco</v>
          </cell>
        </row>
        <row r="113">
          <cell r="A113" t="str">
            <v>1161412Consiglio Nazionale delle Ricerche</v>
          </cell>
        </row>
        <row r="114">
          <cell r="A114" t="str">
            <v>1405441Consiglio Nazionale delle Ricerche</v>
          </cell>
        </row>
        <row r="115">
          <cell r="A115" t="str">
            <v>1380764Agenzia regionale per la protezione dell'ambiente della Valle d'Aosta</v>
          </cell>
        </row>
        <row r="116">
          <cell r="A116" t="str">
            <v>1380764Fondazione Montagna sicura - Montagne sûre</v>
          </cell>
        </row>
        <row r="117">
          <cell r="A117" t="str">
            <v>1380764Institut Agricole Régional</v>
          </cell>
        </row>
        <row r="118">
          <cell r="A118" t="str">
            <v>1380764Politecnico di Torino</v>
          </cell>
        </row>
        <row r="119">
          <cell r="A119" t="str">
            <v>1380764Regione Autonoma Valle d'Aosta</v>
          </cell>
        </row>
        <row r="120">
          <cell r="A120" t="str">
            <v>1331921NOI S.P.A. % NOI A.G.</v>
          </cell>
        </row>
        <row r="121">
          <cell r="A121" t="str">
            <v>1468280NOI S.P.A. % NOI A.G.</v>
          </cell>
        </row>
        <row r="122">
          <cell r="A122" t="str">
            <v>1548221unione del Lago Maggiore</v>
          </cell>
        </row>
        <row r="123">
          <cell r="A123" t="str">
            <v>1548221UNIONE MONTANA VALLE VIGEZZO</v>
          </cell>
        </row>
        <row r="124">
          <cell r="A124" t="str">
            <v>1305496COOPERATIVA SOCIALE SIM-PATIA - SOCIETA' COOPERATIVA</v>
          </cell>
        </row>
        <row r="125">
          <cell r="A125" t="str">
            <v>1445519IL SENTIERO SOCIETA' COOPERATIVA SOCIALE</v>
          </cell>
        </row>
        <row r="126">
          <cell r="A126" t="str">
            <v>1445519LA CLESSIDRA SOCIETA' COOPERATIVA SOCIALE</v>
          </cell>
        </row>
        <row r="127">
          <cell r="A127" t="str">
            <v>1446369ALFA S.R.L.</v>
          </cell>
        </row>
        <row r="128">
          <cell r="A128" t="str">
            <v>1294499COMUNITA' MONTANA LARIO ORIENTALE - VALLE SAN MARTINO</v>
          </cell>
        </row>
        <row r="129">
          <cell r="A129" t="str">
            <v>1294499LECCO</v>
          </cell>
        </row>
        <row r="130">
          <cell r="A130" t="str">
            <v>1459619COMUNITA' MONTANA VALLI DEL LARIO E DEL CERESIO</v>
          </cell>
        </row>
        <row r="131">
          <cell r="A131" t="str">
            <v>1460114Provincia di Lecco</v>
          </cell>
        </row>
        <row r="132">
          <cell r="A132" t="str">
            <v>1488222LECCO</v>
          </cell>
        </row>
        <row r="133">
          <cell r="A133" t="str">
            <v>1561841LECCO</v>
          </cell>
        </row>
        <row r="134">
          <cell r="A134" t="str">
            <v>1385625Politecnico di Milano</v>
          </cell>
        </row>
        <row r="135">
          <cell r="A135" t="str">
            <v>1404436Fondazione Bruno Kessler</v>
          </cell>
        </row>
        <row r="136">
          <cell r="A136" t="str">
            <v>1404436LECCO</v>
          </cell>
        </row>
        <row r="137">
          <cell r="A137" t="str">
            <v>1404436Politecnico di Milano</v>
          </cell>
        </row>
        <row r="138">
          <cell r="A138" t="str">
            <v>1395195Comunità di Sant Egidio Piemonte Onlus</v>
          </cell>
        </row>
        <row r="139">
          <cell r="A139" t="str">
            <v>1395195Fondazione Circolo dei lettori</v>
          </cell>
        </row>
        <row r="140">
          <cell r="A140" t="str">
            <v>1395195SCUOLA - COMUNITA' - IMPRESA</v>
          </cell>
        </row>
        <row r="141">
          <cell r="A141" t="str">
            <v>1418527Associazione Next Level</v>
          </cell>
        </row>
        <row r="142">
          <cell r="A142" t="str">
            <v>1418527Fondazione Circolo dei lettori</v>
          </cell>
        </row>
        <row r="143">
          <cell r="A143" t="str">
            <v>1418527SCUOLA - COMUNITA' - IMPRESA</v>
          </cell>
        </row>
        <row r="144">
          <cell r="A144" t="str">
            <v>1181441GALLARATE</v>
          </cell>
        </row>
        <row r="145">
          <cell r="A145" t="str">
            <v>1261659ANFFAS LOMBARDIA ONLUS</v>
          </cell>
        </row>
        <row r="146">
          <cell r="A146" t="str">
            <v>1475877Università Cattolica del Sacro Cuore</v>
          </cell>
        </row>
        <row r="147">
          <cell r="A147" t="str">
            <v>1404572Associazione Italo Svizzera per gli Scavi di Piuro</v>
          </cell>
        </row>
        <row r="148">
          <cell r="A148" t="str">
            <v>1404572FONDAZIONE POLITECNICO DI MILANO</v>
          </cell>
        </row>
        <row r="149">
          <cell r="A149" t="str">
            <v>1404572PIURO</v>
          </cell>
        </row>
        <row r="150">
          <cell r="A150" t="str">
            <v>1404572Politecnico di Milano</v>
          </cell>
        </row>
        <row r="151">
          <cell r="A151" t="str">
            <v>1404572Regione Lombardia</v>
          </cell>
        </row>
        <row r="152">
          <cell r="A152" t="str">
            <v>1404572Università degli Studi di Milano</v>
          </cell>
        </row>
        <row r="153">
          <cell r="A153" t="str">
            <v>1404572VALCHIAVENNA</v>
          </cell>
        </row>
        <row r="154">
          <cell r="A154" t="str">
            <v>1460822FONDAZIONE POLITECNICO DI MILANO</v>
          </cell>
        </row>
        <row r="155">
          <cell r="A155" t="str">
            <v>1461355Associazione per la protezione del patrimonio artistico e culturale Valle Intelvi - APPACUVI</v>
          </cell>
        </row>
        <row r="156">
          <cell r="A156" t="str">
            <v>1461355ENTE VILLA CARLOTTA</v>
          </cell>
        </row>
        <row r="157">
          <cell r="A157" t="str">
            <v>1461401ARGEGNO</v>
          </cell>
        </row>
        <row r="158">
          <cell r="A158" t="str">
            <v>1461401Ente Regionale per i Servizi all'Agricoltura e alle Foreste - ERSAF</v>
          </cell>
        </row>
        <row r="159">
          <cell r="A159" t="str">
            <v>1461401LARIOINTELVESE</v>
          </cell>
        </row>
        <row r="160">
          <cell r="A160" t="str">
            <v>1248233CNR Istituto di Ricerca Sulle Acque</v>
          </cell>
        </row>
        <row r="161">
          <cell r="A161" t="str">
            <v>1248233PARCO LOMBARDO DELLA VALLE DEL TICINO</v>
          </cell>
        </row>
        <row r="162">
          <cell r="A162" t="str">
            <v>1248233Società Valsesiana Pescatori Sportivi A.S.D.</v>
          </cell>
        </row>
        <row r="163">
          <cell r="A163" t="str">
            <v>1248233TERRE DEL SESIA SOCIETA' CONSORTILE A RESPONSABILITA' LIMITATA</v>
          </cell>
        </row>
        <row r="164">
          <cell r="A164" t="str">
            <v>1248233UNIONE MONTANA DEI COMUNI DELLA VALSESIA</v>
          </cell>
        </row>
        <row r="165">
          <cell r="A165" t="str">
            <v>1248245G.R.A.I.A. SRL GESTIONE E RICERCA AMBIENTALE ITTICA ACQUE</v>
          </cell>
        </row>
        <row r="166">
          <cell r="A166" t="str">
            <v>1248245Società Valsesiana Pescatori Sportivi A.S.D.</v>
          </cell>
        </row>
        <row r="167">
          <cell r="A167" t="str">
            <v>1279463Politecnico di Milano</v>
          </cell>
        </row>
        <row r="168">
          <cell r="A168" t="str">
            <v>1453958Politecnico di Milano</v>
          </cell>
        </row>
        <row r="169">
          <cell r="A169" t="str">
            <v>1321273EUROPAEISCHE AKADEMIE BOZEN AUF ITALIENISCH "ACCADEMIA EUROPEA  DI BOLZANO " AUF LADINISCH "ACADEMIA EUROPEICA BULSAN" AUF ENGLISCH "EUROPEAN ACADEMY OF BOZEN-BOLZANO"</v>
          </cell>
        </row>
        <row r="170">
          <cell r="A170" t="str">
            <v>1321273Regione Lombardia</v>
          </cell>
        </row>
        <row r="171">
          <cell r="A171" t="str">
            <v>1402805Regione Lombardia</v>
          </cell>
        </row>
        <row r="172">
          <cell r="A172" t="str">
            <v>1344345CENTRO DI RICERCA E DOCUMENTAZIONE LUIGI EINAUDI</v>
          </cell>
        </row>
        <row r="173">
          <cell r="A173" t="str">
            <v>1476521CONSORZIO INTERCOMUNALE SERVIZI SOCIALI OSSOLA</v>
          </cell>
        </row>
        <row r="174">
          <cell r="A174" t="str">
            <v>1325354Comune di Macugnaga</v>
          </cell>
        </row>
        <row r="175">
          <cell r="A175" t="str">
            <v>1269167Agenzia per l'Energia Alto Adige - CasaClima</v>
          </cell>
        </row>
        <row r="176">
          <cell r="A176" t="str">
            <v>1269167EURAC research - Istituto per le Energie Rinnovabili</v>
          </cell>
        </row>
        <row r="177">
          <cell r="A177" t="str">
            <v>1269167IDM Suedtirol - Alto Adige</v>
          </cell>
        </row>
        <row r="178">
          <cell r="A178" t="str">
            <v>1404365Agenzia per l'Energia Alto Adige - CasaClima</v>
          </cell>
        </row>
        <row r="179">
          <cell r="A179" t="str">
            <v>1404365EURAC research - Istituto per le Energie Rinnovabili</v>
          </cell>
        </row>
        <row r="180">
          <cell r="A180" t="str">
            <v>1402799Comune di Verbania</v>
          </cell>
        </row>
        <row r="181">
          <cell r="A181" t="str">
            <v>1493092Università degli Studi dell'Insubria</v>
          </cell>
        </row>
        <row r="182">
          <cell r="A182" t="str">
            <v>1232145comune di Saint-Rhémy-en-Bosses</v>
          </cell>
        </row>
        <row r="183">
          <cell r="A183" t="str">
            <v>1412051comune di Saint-Rhémy-en-Bosses</v>
          </cell>
        </row>
        <row r="184">
          <cell r="A184" t="str">
            <v>1412051Fondazione Montagna sicura - Montagne sûre</v>
          </cell>
        </row>
        <row r="185">
          <cell r="A185" t="str">
            <v>1398444UNIVERSITA ' CARLO CATTANEO - LIUC</v>
          </cell>
        </row>
        <row r="186">
          <cell r="A186" t="str">
            <v>1378409Comune di Domodossola</v>
          </cell>
        </row>
        <row r="187">
          <cell r="A187" t="str">
            <v>1432091AMP</v>
          </cell>
        </row>
        <row r="188">
          <cell r="A188" t="str">
            <v>1432091DMO</v>
          </cell>
        </row>
        <row r="189">
          <cell r="A189" t="str">
            <v>1461161CASPOGGIO</v>
          </cell>
        </row>
        <row r="190">
          <cell r="A190" t="str">
            <v>1461161CHIESA IN VALMALENCO</v>
          </cell>
        </row>
        <row r="191">
          <cell r="A191" t="str">
            <v>1461161LANZADA</v>
          </cell>
        </row>
        <row r="192">
          <cell r="A192" t="str">
            <v>1461161SPRIANA</v>
          </cell>
        </row>
        <row r="193">
          <cell r="A193" t="str">
            <v>1461161TORRE DI SANTA MARIA</v>
          </cell>
        </row>
        <row r="194">
          <cell r="A194" t="str">
            <v>1461161U.C. DELLA VALMALENCO</v>
          </cell>
        </row>
        <row r="195">
          <cell r="A195" t="str">
            <v>1461161Università degli Studi di Milano</v>
          </cell>
        </row>
        <row r="196">
          <cell r="A196" t="str">
            <v>1395835AZIENDA SOCIO SANITARIA TERRITORIALE DELLA VALTELLINA E DELL'ALTO LARIO</v>
          </cell>
        </row>
        <row r="197">
          <cell r="A197" t="str">
            <v>1507212AZIENDA SOCIO SANITARIA TERRITORIALE DELLA VALTELLINA E DELL'ALTO LARIO</v>
          </cell>
        </row>
        <row r="198">
          <cell r="A198" t="str">
            <v>1273447LUINO</v>
          </cell>
        </row>
        <row r="199">
          <cell r="A199" t="str">
            <v>1506945LUINO</v>
          </cell>
        </row>
        <row r="200">
          <cell r="A200" t="str">
            <v>1507844LUINO</v>
          </cell>
        </row>
        <row r="201">
          <cell r="A201" t="str">
            <v>1542088LUINO</v>
          </cell>
        </row>
        <row r="202">
          <cell r="A202" t="str">
            <v>1506209AZIENDA DI PROMOZIONE E SVILUPPO TURISTICO DI LIVIGNO S.R.L. (IN ACRONIMO "A.P.T. S.R.L.")</v>
          </cell>
        </row>
        <row r="203">
          <cell r="A203" t="str">
            <v>1506209Ente Regionale per i Servizi all'Agricoltura e alle Foreste - ERSAF</v>
          </cell>
        </row>
        <row r="204">
          <cell r="A204" t="str">
            <v>1506209Regione Lombardia</v>
          </cell>
        </row>
        <row r="205">
          <cell r="A205" t="str">
            <v>1453283Provincia di Novara</v>
          </cell>
        </row>
        <row r="206">
          <cell r="A206" t="str">
            <v>1176638Università del Piemonte Orientale</v>
          </cell>
        </row>
        <row r="207">
          <cell r="A207" t="str">
            <v>1282320Università del Piemonte Orientale</v>
          </cell>
        </row>
        <row r="208">
          <cell r="A208" t="str">
            <v>1385474Università degli Studi di Pavia</v>
          </cell>
        </row>
        <row r="209">
          <cell r="A209" t="str">
            <v>1385474Università del Piemonte Orientale</v>
          </cell>
        </row>
        <row r="210">
          <cell r="A210" t="str">
            <v>1426104VALMOREA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intera"/>
      <sheetName val="Foglio13"/>
      <sheetName val="DB solo IT"/>
      <sheetName val="DB Asse 6"/>
      <sheetName val=" Asse 6 certificati dic 19"/>
      <sheetName val="Foglio8"/>
      <sheetName val="Foglio9"/>
      <sheetName val="Foglio4"/>
      <sheetName val="Foglio2"/>
      <sheetName val="Confronto asse 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544105Provi</v>
          </cell>
        </row>
        <row r="2">
          <cell r="A2" t="str">
            <v>490188CENTR</v>
          </cell>
        </row>
        <row r="3">
          <cell r="A3" t="str">
            <v xml:space="preserve">490188Need </v>
          </cell>
        </row>
        <row r="4">
          <cell r="A4" t="str">
            <v>544105Provi</v>
          </cell>
        </row>
        <row r="5">
          <cell r="A5" t="str">
            <v>546749Consi</v>
          </cell>
        </row>
        <row r="6">
          <cell r="A6" t="str">
            <v>469849Unive</v>
          </cell>
        </row>
        <row r="7">
          <cell r="A7" t="str">
            <v>469849Unive</v>
          </cell>
        </row>
        <row r="8">
          <cell r="A8" t="str">
            <v>566950LECCO</v>
          </cell>
        </row>
        <row r="9">
          <cell r="A9" t="str">
            <v>637541Unive</v>
          </cell>
        </row>
        <row r="10">
          <cell r="A10" t="str">
            <v>591611GALLA</v>
          </cell>
        </row>
        <row r="11">
          <cell r="A11" t="str">
            <v>492824Camer</v>
          </cell>
        </row>
        <row r="12">
          <cell r="A12" t="str">
            <v xml:space="preserve">475062Arpa </v>
          </cell>
        </row>
        <row r="13">
          <cell r="A13" t="str">
            <v>475062Regio</v>
          </cell>
        </row>
        <row r="14">
          <cell r="A14" t="str">
            <v>475062FONDA</v>
          </cell>
        </row>
        <row r="15">
          <cell r="A15" t="str">
            <v>499236FONDA</v>
          </cell>
        </row>
        <row r="16">
          <cell r="A16" t="str">
            <v>499236RSA M</v>
          </cell>
        </row>
        <row r="17">
          <cell r="A17" t="str">
            <v>499236Fonda</v>
          </cell>
        </row>
        <row r="18">
          <cell r="A18" t="str">
            <v>499236RSA M</v>
          </cell>
        </row>
        <row r="19">
          <cell r="A19" t="str">
            <v>499236Fonda</v>
          </cell>
        </row>
        <row r="20">
          <cell r="A20" t="str">
            <v>499236FONDA</v>
          </cell>
        </row>
        <row r="21">
          <cell r="A21" t="str">
            <v>506686FONDA</v>
          </cell>
        </row>
        <row r="22">
          <cell r="A22" t="str">
            <v>493717Insti</v>
          </cell>
        </row>
        <row r="23">
          <cell r="A23" t="str">
            <v>475062Regio</v>
          </cell>
        </row>
        <row r="24">
          <cell r="A24" t="str">
            <v>475062FONDA</v>
          </cell>
        </row>
        <row r="25">
          <cell r="A25" t="str">
            <v>618805comun</v>
          </cell>
        </row>
        <row r="26">
          <cell r="A26" t="str">
            <v>473567Unive</v>
          </cell>
        </row>
        <row r="27">
          <cell r="A27" t="str">
            <v>599030UNION</v>
          </cell>
        </row>
        <row r="28">
          <cell r="A28" t="str">
            <v>599030CNR I</v>
          </cell>
        </row>
        <row r="29">
          <cell r="A29" t="str">
            <v>599030TERRE</v>
          </cell>
        </row>
        <row r="30">
          <cell r="A30" t="str">
            <v>599030Socie</v>
          </cell>
        </row>
        <row r="31">
          <cell r="A31" t="str">
            <v>599030G.R.A</v>
          </cell>
        </row>
        <row r="32">
          <cell r="A32" t="str">
            <v>599030PARCO</v>
          </cell>
        </row>
        <row r="33">
          <cell r="A33" t="str">
            <v>599030CNR I</v>
          </cell>
        </row>
        <row r="34">
          <cell r="A34" t="str">
            <v>599030Socie</v>
          </cell>
        </row>
        <row r="35">
          <cell r="A35" t="str">
            <v>599030G.R.A</v>
          </cell>
        </row>
        <row r="36">
          <cell r="A36" t="str">
            <v>500518Fonda</v>
          </cell>
        </row>
        <row r="37">
          <cell r="A37" t="str">
            <v>500518Comun</v>
          </cell>
        </row>
        <row r="38">
          <cell r="A38" t="str">
            <v>500518Comun</v>
          </cell>
        </row>
        <row r="39">
          <cell r="A39" t="str">
            <v>523544FONDA</v>
          </cell>
        </row>
        <row r="40">
          <cell r="A40" t="str">
            <v>523544Consi</v>
          </cell>
        </row>
        <row r="41">
          <cell r="A41" t="str">
            <v>523544Polit</v>
          </cell>
        </row>
        <row r="42">
          <cell r="A42" t="str">
            <v>506686FONDA</v>
          </cell>
        </row>
        <row r="43">
          <cell r="A43" t="str">
            <v>506686Assoc</v>
          </cell>
        </row>
        <row r="44">
          <cell r="A44" t="str">
            <v>506686OLTRE</v>
          </cell>
        </row>
        <row r="45">
          <cell r="A45" t="str">
            <v>506686IUSEF</v>
          </cell>
        </row>
        <row r="46">
          <cell r="A46" t="str">
            <v>506686Unive</v>
          </cell>
        </row>
        <row r="47">
          <cell r="A47" t="str">
            <v>493717Insti</v>
          </cell>
        </row>
        <row r="48">
          <cell r="A48" t="str">
            <v>591611ANFFA</v>
          </cell>
        </row>
        <row r="49">
          <cell r="A49" t="str">
            <v>475062FONDA</v>
          </cell>
        </row>
        <row r="50">
          <cell r="A50" t="str">
            <v>475989Camer</v>
          </cell>
        </row>
        <row r="51">
          <cell r="A51" t="str">
            <v>613474IDM S</v>
          </cell>
        </row>
        <row r="52">
          <cell r="A52" t="str">
            <v>613474Agenz</v>
          </cell>
        </row>
        <row r="53">
          <cell r="A53" t="str">
            <v>613474EURAC</v>
          </cell>
        </row>
        <row r="54">
          <cell r="A54" t="str">
            <v>632120LUINO</v>
          </cell>
        </row>
        <row r="55">
          <cell r="A55" t="str">
            <v>601953Polit</v>
          </cell>
        </row>
        <row r="56">
          <cell r="A56" t="str">
            <v>637541Unive</v>
          </cell>
        </row>
        <row r="57">
          <cell r="A57" t="str">
            <v>566950COMUN</v>
          </cell>
        </row>
        <row r="58">
          <cell r="A58" t="str">
            <v>566950LECCO</v>
          </cell>
        </row>
        <row r="59">
          <cell r="A59" t="str">
            <v>563663LA CL</v>
          </cell>
        </row>
        <row r="60">
          <cell r="A60" t="str">
            <v>563663IL SE</v>
          </cell>
        </row>
        <row r="61">
          <cell r="A61" t="str">
            <v>563663COOPE</v>
          </cell>
        </row>
        <row r="62">
          <cell r="A62" t="str">
            <v>475998Camer</v>
          </cell>
        </row>
        <row r="63">
          <cell r="A63" t="str">
            <v>475998Camer</v>
          </cell>
        </row>
        <row r="64">
          <cell r="A64" t="str">
            <v>475998Camer</v>
          </cell>
        </row>
        <row r="65">
          <cell r="A65" t="str">
            <v>472624Gesti</v>
          </cell>
        </row>
        <row r="66">
          <cell r="A66" t="str">
            <v>472624Regio</v>
          </cell>
        </row>
        <row r="67">
          <cell r="A67" t="str">
            <v>603882Regio</v>
          </cell>
        </row>
        <row r="68">
          <cell r="A68" t="str">
            <v>603882EUROP</v>
          </cell>
        </row>
        <row r="69">
          <cell r="A69" t="str">
            <v>471690Unive</v>
          </cell>
        </row>
        <row r="70">
          <cell r="A70" t="str">
            <v>471690UNIVE</v>
          </cell>
        </row>
        <row r="71">
          <cell r="A71" t="str">
            <v>610541Comun</v>
          </cell>
        </row>
        <row r="72">
          <cell r="A72" t="str">
            <v>562850NOI S</v>
          </cell>
        </row>
        <row r="73">
          <cell r="A73" t="str">
            <v>607386CONSO</v>
          </cell>
        </row>
        <row r="74">
          <cell r="A74" t="str">
            <v>607386CENTR</v>
          </cell>
        </row>
        <row r="75">
          <cell r="A75" t="str">
            <v>492824Camer</v>
          </cell>
        </row>
        <row r="76">
          <cell r="A76" t="str">
            <v>492824Unind</v>
          </cell>
        </row>
        <row r="77">
          <cell r="A77" t="str">
            <v>492824Unive</v>
          </cell>
        </row>
        <row r="78">
          <cell r="A78" t="str">
            <v xml:space="preserve">481668ENTE </v>
          </cell>
        </row>
        <row r="79">
          <cell r="A79" t="str">
            <v>623647Comun</v>
          </cell>
        </row>
        <row r="80">
          <cell r="A80" t="str">
            <v>551749Regio</v>
          </cell>
        </row>
        <row r="81">
          <cell r="A81" t="str">
            <v>551749Fonda</v>
          </cell>
        </row>
        <row r="82">
          <cell r="A82" t="str">
            <v>551749Agenz</v>
          </cell>
        </row>
        <row r="83">
          <cell r="A83" t="str">
            <v>551749Polit</v>
          </cell>
        </row>
        <row r="84">
          <cell r="A84" t="str">
            <v>551749Insti</v>
          </cell>
        </row>
        <row r="85">
          <cell r="A85" t="str">
            <v>469849Unive</v>
          </cell>
        </row>
        <row r="86">
          <cell r="A86" t="str">
            <v>469849Unive</v>
          </cell>
        </row>
        <row r="87">
          <cell r="A87" t="str">
            <v>541315Regio</v>
          </cell>
        </row>
        <row r="88">
          <cell r="A88" t="str">
            <v xml:space="preserve">541315ENTE </v>
          </cell>
        </row>
        <row r="89">
          <cell r="A89" t="str">
            <v xml:space="preserve">541315CLUB </v>
          </cell>
        </row>
        <row r="90">
          <cell r="A90" t="str">
            <v>637541Unive</v>
          </cell>
        </row>
        <row r="91">
          <cell r="A91" t="str">
            <v>637541Unive</v>
          </cell>
        </row>
        <row r="92">
          <cell r="A92" t="str">
            <v>570702Polit</v>
          </cell>
        </row>
        <row r="93">
          <cell r="A93" t="str">
            <v>480739FONDA</v>
          </cell>
        </row>
        <row r="94">
          <cell r="A94" t="str">
            <v>480739VALTE</v>
          </cell>
        </row>
        <row r="95">
          <cell r="A95" t="str">
            <v>493717Insti</v>
          </cell>
        </row>
        <row r="96">
          <cell r="A96" t="str">
            <v>475998Camer</v>
          </cell>
        </row>
        <row r="97">
          <cell r="A97" t="str">
            <v>475998Camer</v>
          </cell>
        </row>
        <row r="98">
          <cell r="A98" t="str">
            <v>475998Camer</v>
          </cell>
        </row>
        <row r="99">
          <cell r="A99" t="str">
            <v>523858S.C.R</v>
          </cell>
        </row>
        <row r="100">
          <cell r="A100" t="str">
            <v>480739VALTE</v>
          </cell>
        </row>
        <row r="101">
          <cell r="A101" t="str">
            <v>480739FONDA</v>
          </cell>
        </row>
        <row r="102">
          <cell r="A102" t="str">
            <v>480739CHIUR</v>
          </cell>
        </row>
        <row r="103">
          <cell r="A103" t="str">
            <v>572703Comun</v>
          </cell>
        </row>
        <row r="104">
          <cell r="A104" t="str">
            <v>572703Fonda</v>
          </cell>
        </row>
        <row r="105">
          <cell r="A105" t="str">
            <v>572703SCUOL</v>
          </cell>
        </row>
        <row r="106">
          <cell r="A106" t="str">
            <v>494013ASSOC</v>
          </cell>
        </row>
        <row r="107">
          <cell r="A107" t="str">
            <v>475989Camer</v>
          </cell>
        </row>
        <row r="108">
          <cell r="A108" t="str">
            <v>475989Camer</v>
          </cell>
        </row>
        <row r="109">
          <cell r="A109" t="str">
            <v>631714AZIEN</v>
          </cell>
        </row>
        <row r="110">
          <cell r="A110" t="str">
            <v>505420PROVI</v>
          </cell>
        </row>
        <row r="111">
          <cell r="A111" t="str">
            <v>505420Provi</v>
          </cell>
        </row>
        <row r="112">
          <cell r="A112" t="str">
            <v>505420Regio</v>
          </cell>
        </row>
        <row r="113">
          <cell r="A113" t="str">
            <v>505420UNIVE</v>
          </cell>
        </row>
        <row r="114">
          <cell r="A114" t="str">
            <v>622330UNIVE</v>
          </cell>
        </row>
        <row r="115">
          <cell r="A115" t="str">
            <v>475205Consi</v>
          </cell>
        </row>
        <row r="116">
          <cell r="A116" t="str">
            <v>506686Unive</v>
          </cell>
        </row>
        <row r="117">
          <cell r="A117" t="str">
            <v>506686IUSEF</v>
          </cell>
        </row>
        <row r="118">
          <cell r="A118" t="str">
            <v>506686Assoc</v>
          </cell>
        </row>
        <row r="119">
          <cell r="A119" t="str">
            <v>506686FONDA</v>
          </cell>
        </row>
        <row r="120">
          <cell r="A120" t="str">
            <v>473472Unive</v>
          </cell>
        </row>
        <row r="121">
          <cell r="A121" t="str">
            <v>473472Polit</v>
          </cell>
        </row>
        <row r="122">
          <cell r="A122" t="str">
            <v>473472Centr</v>
          </cell>
        </row>
        <row r="123">
          <cell r="A123" t="str">
            <v>473472CONFA</v>
          </cell>
        </row>
        <row r="124">
          <cell r="A124" t="str">
            <v>614306EUROP</v>
          </cell>
        </row>
        <row r="125">
          <cell r="A125" t="str">
            <v>614306Comun</v>
          </cell>
        </row>
        <row r="126">
          <cell r="A126" t="str">
            <v>603882EUROP</v>
          </cell>
        </row>
        <row r="127">
          <cell r="A127" t="str">
            <v>603882Regio</v>
          </cell>
        </row>
        <row r="128">
          <cell r="A128" t="str">
            <v>490188ATS D</v>
          </cell>
        </row>
        <row r="129">
          <cell r="A129" t="str">
            <v>471690Unive</v>
          </cell>
        </row>
        <row r="130">
          <cell r="A130" t="str">
            <v>471690UNIVE</v>
          </cell>
        </row>
        <row r="131">
          <cell r="A131" t="str">
            <v>475062COMO</v>
          </cell>
        </row>
        <row r="132">
          <cell r="A132" t="str">
            <v>613474Agenz</v>
          </cell>
        </row>
        <row r="133">
          <cell r="A133" t="str">
            <v>613474EURAC</v>
          </cell>
        </row>
        <row r="134">
          <cell r="A134" t="str">
            <v>475062Polit</v>
          </cell>
        </row>
        <row r="135">
          <cell r="A135" t="str">
            <v xml:space="preserve">475062Arpa </v>
          </cell>
        </row>
        <row r="136">
          <cell r="A136" t="str">
            <v>570702Fonda</v>
          </cell>
        </row>
        <row r="137">
          <cell r="A137" t="str">
            <v>570702Polit</v>
          </cell>
        </row>
        <row r="138">
          <cell r="A138" t="str">
            <v>570702Lecco</v>
          </cell>
        </row>
        <row r="139">
          <cell r="A139" t="str">
            <v>570702Regio</v>
          </cell>
        </row>
        <row r="140">
          <cell r="A140" t="str">
            <v>523544FONDA</v>
          </cell>
        </row>
        <row r="141">
          <cell r="A141" t="str">
            <v>523544Consi</v>
          </cell>
        </row>
        <row r="142">
          <cell r="A142" t="str">
            <v>523544Polit</v>
          </cell>
        </row>
        <row r="143">
          <cell r="A143" t="str">
            <v>594274Regio</v>
          </cell>
        </row>
        <row r="144">
          <cell r="A144" t="str">
            <v>594274Polit</v>
          </cell>
        </row>
        <row r="145">
          <cell r="A145" t="str">
            <v>594274Unive</v>
          </cell>
        </row>
        <row r="146">
          <cell r="A146" t="str">
            <v>594274PIURO</v>
          </cell>
        </row>
        <row r="147">
          <cell r="A147" t="str">
            <v>594274Unive</v>
          </cell>
        </row>
        <row r="148">
          <cell r="A148" t="str">
            <v>594274FONDA</v>
          </cell>
        </row>
        <row r="149">
          <cell r="A149" t="str">
            <v>594274VALCH</v>
          </cell>
        </row>
        <row r="150">
          <cell r="A150" t="str">
            <v>594274Assoc</v>
          </cell>
        </row>
        <row r="151">
          <cell r="A151" t="str">
            <v>546749Consi</v>
          </cell>
        </row>
        <row r="152">
          <cell r="A152" t="str">
            <v>492824Camer</v>
          </cell>
        </row>
        <row r="153">
          <cell r="A153" t="str">
            <v>492824Unive</v>
          </cell>
        </row>
        <row r="154">
          <cell r="A154" t="str">
            <v>492824Unind</v>
          </cell>
        </row>
        <row r="155">
          <cell r="A155" t="str">
            <v>483978UNIVE</v>
          </cell>
        </row>
        <row r="156">
          <cell r="A156" t="str">
            <v>636517UNITE</v>
          </cell>
        </row>
        <row r="157">
          <cell r="A157" t="str">
            <v>618805comun</v>
          </cell>
        </row>
        <row r="158">
          <cell r="A158" t="str">
            <v>618805Fonda</v>
          </cell>
        </row>
        <row r="159">
          <cell r="A159" t="str">
            <v>572703Comun</v>
          </cell>
        </row>
        <row r="160">
          <cell r="A160" t="str">
            <v>572703Assoc</v>
          </cell>
        </row>
        <row r="161">
          <cell r="A161" t="str">
            <v>572703SCUOL</v>
          </cell>
        </row>
        <row r="162">
          <cell r="A162" t="str">
            <v>572703Fonda</v>
          </cell>
        </row>
        <row r="163">
          <cell r="A163" t="str">
            <v>638359Provi</v>
          </cell>
        </row>
        <row r="164">
          <cell r="A164" t="str">
            <v>638359VALMO</v>
          </cell>
        </row>
        <row r="165">
          <cell r="A165" t="str">
            <v>472624Regio</v>
          </cell>
        </row>
        <row r="166">
          <cell r="A166" t="str">
            <v>472624Agenz</v>
          </cell>
        </row>
        <row r="167">
          <cell r="A167" t="str">
            <v>499236Fonda</v>
          </cell>
        </row>
        <row r="168">
          <cell r="A168" t="str">
            <v>623647DMO</v>
          </cell>
        </row>
        <row r="169">
          <cell r="A169" t="str">
            <v>623647AMP</v>
          </cell>
        </row>
        <row r="170">
          <cell r="A170" t="str">
            <v>563663IL SE</v>
          </cell>
        </row>
        <row r="171">
          <cell r="A171" t="str">
            <v>563663LA CL</v>
          </cell>
        </row>
        <row r="172">
          <cell r="A172" t="str">
            <v xml:space="preserve">566187ALFA </v>
          </cell>
        </row>
        <row r="173">
          <cell r="A173" t="str">
            <v>475998Camer</v>
          </cell>
        </row>
        <row r="174">
          <cell r="A174" t="str">
            <v>475998Camer</v>
          </cell>
        </row>
        <row r="175">
          <cell r="A175" t="str">
            <v>475998Camer</v>
          </cell>
        </row>
        <row r="176">
          <cell r="A176" t="str">
            <v>475989Camer</v>
          </cell>
        </row>
        <row r="177">
          <cell r="A177" t="str">
            <v>475989Camer</v>
          </cell>
        </row>
        <row r="178">
          <cell r="A178" t="str">
            <v>475989Camer</v>
          </cell>
        </row>
        <row r="179">
          <cell r="A179" t="str">
            <v>499464FONDA</v>
          </cell>
        </row>
        <row r="180">
          <cell r="A180" t="str">
            <v>499464Polit</v>
          </cell>
        </row>
        <row r="181">
          <cell r="A181" t="str">
            <v>573284UNION</v>
          </cell>
        </row>
        <row r="182">
          <cell r="A182" t="str">
            <v xml:space="preserve">472084Ente </v>
          </cell>
        </row>
        <row r="183">
          <cell r="A183" t="str">
            <v xml:space="preserve">472084Ente </v>
          </cell>
        </row>
        <row r="184">
          <cell r="A184" t="str">
            <v>472084PARCO</v>
          </cell>
        </row>
        <row r="185">
          <cell r="A185" t="str">
            <v>472084CERVI</v>
          </cell>
        </row>
        <row r="186">
          <cell r="A186" t="str">
            <v>506686Assoc</v>
          </cell>
        </row>
        <row r="187">
          <cell r="A187" t="str">
            <v>506686OLTRE</v>
          </cell>
        </row>
        <row r="188">
          <cell r="A188" t="str">
            <v>506686IUSEF</v>
          </cell>
        </row>
        <row r="189">
          <cell r="A189" t="str">
            <v>506686Unive</v>
          </cell>
        </row>
        <row r="190">
          <cell r="A190" t="str">
            <v>506686FONDA</v>
          </cell>
        </row>
        <row r="191">
          <cell r="A191" t="str">
            <v>473567LARIO</v>
          </cell>
        </row>
        <row r="192">
          <cell r="A192" t="str">
            <v>473567Comun</v>
          </cell>
        </row>
        <row r="193">
          <cell r="A193" t="str">
            <v>473567Unive</v>
          </cell>
        </row>
        <row r="194">
          <cell r="A194" t="str">
            <v>635807Provi</v>
          </cell>
        </row>
        <row r="195">
          <cell r="A195" t="str">
            <v>632120LUINO</v>
          </cell>
        </row>
        <row r="196">
          <cell r="A196" t="str">
            <v>601953Polit</v>
          </cell>
        </row>
        <row r="197">
          <cell r="A197" t="str">
            <v>544105Provi</v>
          </cell>
        </row>
        <row r="198">
          <cell r="A198" t="str">
            <v>544105COMUN</v>
          </cell>
        </row>
        <row r="199">
          <cell r="A199" t="str">
            <v>566950COMUN</v>
          </cell>
        </row>
        <row r="200">
          <cell r="A200" t="str">
            <v>566950PROVI</v>
          </cell>
        </row>
        <row r="201">
          <cell r="A201" t="str">
            <v>566950COMUN</v>
          </cell>
        </row>
        <row r="202">
          <cell r="A202" t="str">
            <v>523858Provi</v>
          </cell>
        </row>
        <row r="203">
          <cell r="A203" t="str">
            <v>523858S.C.R</v>
          </cell>
        </row>
        <row r="204">
          <cell r="A204" t="str">
            <v>594274FONDA</v>
          </cell>
        </row>
        <row r="205">
          <cell r="A205" t="str">
            <v>631431CHIES</v>
          </cell>
        </row>
        <row r="206">
          <cell r="A206" t="str">
            <v>631431TORRE</v>
          </cell>
        </row>
        <row r="207">
          <cell r="A207" t="str">
            <v>631431LANZA</v>
          </cell>
        </row>
        <row r="208">
          <cell r="A208" t="str">
            <v xml:space="preserve">631431U.C. </v>
          </cell>
        </row>
        <row r="209">
          <cell r="A209" t="str">
            <v>631431Unive</v>
          </cell>
        </row>
        <row r="210">
          <cell r="A210" t="str">
            <v>631431CASPO</v>
          </cell>
        </row>
        <row r="211">
          <cell r="A211" t="str">
            <v>631431SPRIA</v>
          </cell>
        </row>
        <row r="212">
          <cell r="A212" t="str">
            <v xml:space="preserve">594713ENTE </v>
          </cell>
        </row>
        <row r="213">
          <cell r="A213" t="str">
            <v>594713Assoc</v>
          </cell>
        </row>
        <row r="214">
          <cell r="A214" t="str">
            <v xml:space="preserve">594713Ente </v>
          </cell>
        </row>
        <row r="215">
          <cell r="A215" t="str">
            <v>594713ARGEG</v>
          </cell>
        </row>
        <row r="216">
          <cell r="A216" t="str">
            <v>594713SCHIG</v>
          </cell>
        </row>
        <row r="217">
          <cell r="A217" t="str">
            <v>594713LARIO</v>
          </cell>
        </row>
        <row r="218">
          <cell r="A218" t="str">
            <v>594713CLAIN</v>
          </cell>
        </row>
        <row r="219">
          <cell r="A219" t="str">
            <v>500518Comun</v>
          </cell>
        </row>
        <row r="220">
          <cell r="A220" t="str">
            <v>500518Comun</v>
          </cell>
        </row>
        <row r="221">
          <cell r="A221" t="str">
            <v>500518Comun</v>
          </cell>
        </row>
        <row r="222">
          <cell r="A222" t="str">
            <v>500518Fonda</v>
          </cell>
        </row>
        <row r="223">
          <cell r="A223" t="str">
            <v>562850NOI S</v>
          </cell>
        </row>
        <row r="224">
          <cell r="A224" t="str">
            <v>473458VALCH</v>
          </cell>
        </row>
        <row r="225">
          <cell r="A225" t="str">
            <v>492824Camer</v>
          </cell>
        </row>
        <row r="226">
          <cell r="A226" t="str">
            <v>591611Unive</v>
          </cell>
        </row>
        <row r="227">
          <cell r="A227" t="str">
            <v>607386CONSO</v>
          </cell>
        </row>
        <row r="228">
          <cell r="A228" t="str">
            <v>499236Fonda</v>
          </cell>
        </row>
        <row r="229">
          <cell r="A229" t="str">
            <v>499236Unive</v>
          </cell>
        </row>
        <row r="230">
          <cell r="A230" t="str">
            <v>499236RSA M</v>
          </cell>
        </row>
        <row r="231">
          <cell r="A231" t="str">
            <v>499236FONDA</v>
          </cell>
        </row>
        <row r="232">
          <cell r="A232" t="str">
            <v xml:space="preserve">481668ENTE </v>
          </cell>
        </row>
        <row r="233">
          <cell r="A233" t="str">
            <v>481668Unive</v>
          </cell>
        </row>
        <row r="234">
          <cell r="A234" t="str">
            <v>494013ASSOC</v>
          </cell>
        </row>
        <row r="235">
          <cell r="A235" t="str">
            <v>494013ASSOC</v>
          </cell>
        </row>
        <row r="236">
          <cell r="A236" t="str">
            <v>566950LECCO</v>
          </cell>
        </row>
        <row r="237">
          <cell r="A237" t="str">
            <v>566950COMUN</v>
          </cell>
        </row>
        <row r="238">
          <cell r="A238" t="str">
            <v>618082Unive</v>
          </cell>
        </row>
        <row r="239">
          <cell r="A239" t="str">
            <v>563663LA CL</v>
          </cell>
        </row>
        <row r="240">
          <cell r="A240" t="str">
            <v>563663COOPE</v>
          </cell>
        </row>
        <row r="241">
          <cell r="A241" t="str">
            <v>563663IL SE</v>
          </cell>
        </row>
        <row r="242">
          <cell r="A242" t="str">
            <v>632120LUINO</v>
          </cell>
        </row>
        <row r="243">
          <cell r="A243" t="str">
            <v>632120LUINO</v>
          </cell>
        </row>
        <row r="244">
          <cell r="A244" t="str">
            <v>632120LUINO</v>
          </cell>
        </row>
        <row r="245">
          <cell r="A245" t="str">
            <v>632120LUINO</v>
          </cell>
        </row>
        <row r="246">
          <cell r="A246" t="str">
            <v>632120LUINO</v>
          </cell>
        </row>
        <row r="247">
          <cell r="A247" t="str">
            <v xml:space="preserve">635480Ente </v>
          </cell>
        </row>
        <row r="248">
          <cell r="A248" t="str">
            <v>635480AZIEN</v>
          </cell>
        </row>
        <row r="249">
          <cell r="A249" t="str">
            <v>635480Regio</v>
          </cell>
        </row>
        <row r="250">
          <cell r="A250" t="str">
            <v>635480Unive</v>
          </cell>
        </row>
        <row r="251">
          <cell r="A251" t="str">
            <v>635480ASSOC</v>
          </cell>
        </row>
        <row r="252">
          <cell r="A252" t="str">
            <v>632120LUINO</v>
          </cell>
        </row>
        <row r="253">
          <cell r="A253" t="str">
            <v>631714AZIEN</v>
          </cell>
        </row>
        <row r="254">
          <cell r="A254" t="str">
            <v>632120LUINO</v>
          </cell>
        </row>
        <row r="255">
          <cell r="A255" t="str">
            <v>493717Links</v>
          </cell>
        </row>
        <row r="256">
          <cell r="A256" t="str">
            <v>493717Insti</v>
          </cell>
        </row>
        <row r="257">
          <cell r="A257" t="str">
            <v>594274Unive</v>
          </cell>
        </row>
        <row r="258">
          <cell r="A258" t="str">
            <v>594274FONDA</v>
          </cell>
        </row>
        <row r="259">
          <cell r="A259" t="str">
            <v>594274Polit</v>
          </cell>
        </row>
        <row r="260">
          <cell r="A260" t="str">
            <v>494013ASSOC</v>
          </cell>
        </row>
        <row r="261">
          <cell r="A261" t="str">
            <v>632120LUINO</v>
          </cell>
        </row>
        <row r="262">
          <cell r="A262" t="str">
            <v>563431union</v>
          </cell>
        </row>
        <row r="263">
          <cell r="A263" t="str">
            <v>563431UNION</v>
          </cell>
        </row>
        <row r="264">
          <cell r="A264" t="str">
            <v>566950LECCO</v>
          </cell>
        </row>
        <row r="265">
          <cell r="A265" t="str">
            <v>481668Conso</v>
          </cell>
        </row>
        <row r="266">
          <cell r="A266" t="str">
            <v xml:space="preserve">541315ENTE </v>
          </cell>
        </row>
        <row r="267">
          <cell r="A267" t="str">
            <v>473567Comun</v>
          </cell>
        </row>
        <row r="268">
          <cell r="A268" t="str">
            <v>594713LARIO</v>
          </cell>
        </row>
        <row r="269">
          <cell r="A269" t="str">
            <v>481668Conso</v>
          </cell>
        </row>
        <row r="270">
          <cell r="A270" t="str">
            <v>546749Consi</v>
          </cell>
        </row>
        <row r="271">
          <cell r="A271" t="str">
            <v>623647DMO</v>
          </cell>
        </row>
        <row r="272">
          <cell r="A272" t="str">
            <v>505420Provi</v>
          </cell>
        </row>
        <row r="273">
          <cell r="A273" t="str">
            <v xml:space="preserve">541315CLUB 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 generale"/>
      <sheetName val="Assi 1-5 finiti"/>
      <sheetName val="Anticipi aiuto certificabili"/>
      <sheetName val="Aiuti Erogazioni intermedie"/>
      <sheetName val="Asse 6 certificabile"/>
      <sheetName val="Prospetto"/>
      <sheetName val="PF IT rimodulato riprogrammato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1404572Associazione Italo Svizzera per gli Scavi di Piuro</v>
          </cell>
        </row>
        <row r="2">
          <cell r="A2" t="str">
            <v>1404572FONDAZIONE POLITECNICO DI MILANO</v>
          </cell>
        </row>
        <row r="3">
          <cell r="A3" t="str">
            <v>1404572Politecnico di Milano</v>
          </cell>
        </row>
        <row r="4">
          <cell r="A4" t="str">
            <v>1460822FONDAZIONE POLITECNICO DI MILANO</v>
          </cell>
        </row>
        <row r="5">
          <cell r="A5" t="str">
            <v>1446369ALFA S.R.L.</v>
          </cell>
        </row>
        <row r="6">
          <cell r="A6" t="str">
            <v>1282320DAYMED SRL</v>
          </cell>
        </row>
        <row r="7">
          <cell r="A7" t="str">
            <v>1282320APTSOL SOCIETA' A RESPONSABILITA' LIMITATA SEMPLIFICATA</v>
          </cell>
        </row>
        <row r="8">
          <cell r="A8" t="str">
            <v>1282320Università del Piemonte Orientale</v>
          </cell>
        </row>
        <row r="9">
          <cell r="A9" t="str">
            <v>1385474APTSOL SOCIETA' A RESPONSABILITA' LIMITATA SEMPLIFICATA</v>
          </cell>
        </row>
        <row r="10">
          <cell r="A10" t="str">
            <v>1385474Università del Piemonte Orientale</v>
          </cell>
        </row>
        <row r="11">
          <cell r="A11" t="str">
            <v>1389844SVILUPPO COMO - COMONEXT S.P.A.</v>
          </cell>
        </row>
        <row r="12">
          <cell r="A12" t="str">
            <v>1445261TTS TECHNOLOGY TRANSFER SYSTEM - S.R.L.</v>
          </cell>
        </row>
        <row r="13">
          <cell r="A13" t="str">
            <v>1207108FONDAZIONE NUOVO TEATRO FARAGGIANA</v>
          </cell>
        </row>
        <row r="14">
          <cell r="A14" t="str">
            <v>1452014FONDAZIONE NUOVO TEATRO FARAGGIANA</v>
          </cell>
        </row>
        <row r="15">
          <cell r="A15" t="str">
            <v>1452014Associazione Didee - arti e comunicazione</v>
          </cell>
        </row>
        <row r="16">
          <cell r="A16" t="str">
            <v>1452014OLTRE LE QUINTE A.P.S.</v>
          </cell>
        </row>
        <row r="17">
          <cell r="A17" t="str">
            <v>1452014IUSEFor</v>
          </cell>
        </row>
        <row r="18">
          <cell r="A18" t="str">
            <v>1452014Università del Piemonte Orientale</v>
          </cell>
        </row>
        <row r="19">
          <cell r="A19" t="str">
            <v>1395362ASSOCIATION REGIONALE ELEVEURS VALDOTAINS</v>
          </cell>
        </row>
        <row r="20">
          <cell r="A20" t="str">
            <v>1486183ASSOCIATION REGIONALE ELEVEURS VALDOTAINS</v>
          </cell>
        </row>
        <row r="21">
          <cell r="A21" t="str">
            <v>1520619ASSOCIATION REGIONALE ELEVEURS VALDOTAINS</v>
          </cell>
        </row>
        <row r="22">
          <cell r="A22" t="str">
            <v>1469166BLU PROGETTI - S.R.L.</v>
          </cell>
        </row>
        <row r="23">
          <cell r="A23" t="str">
            <v>1469166VALCHIAVENNA</v>
          </cell>
        </row>
        <row r="24">
          <cell r="A24" t="str">
            <v>1469166Politecnico di Milano</v>
          </cell>
        </row>
        <row r="25">
          <cell r="A25" t="str">
            <v>1397751Provincia di Varese</v>
          </cell>
        </row>
        <row r="26">
          <cell r="A26" t="str">
            <v>1397751PROVINCIA DI COMO</v>
          </cell>
        </row>
        <row r="27">
          <cell r="A27" t="str">
            <v>1397751ARS AMBIENTE S.R.L.</v>
          </cell>
        </row>
        <row r="28">
          <cell r="A28" t="str">
            <v>1397751UNIVERSITA ' CARLO CATTANEO - LIUC</v>
          </cell>
        </row>
        <row r="29">
          <cell r="A29" t="str">
            <v>1228019Regione Lombardia</v>
          </cell>
        </row>
        <row r="30">
          <cell r="A30" t="str">
            <v>1228032FONDAZIONE POLITECNICO DI MILANO</v>
          </cell>
        </row>
        <row r="31">
          <cell r="A31" t="str">
            <v>1404358COMO</v>
          </cell>
        </row>
        <row r="32">
          <cell r="A32" t="str">
            <v>1404379Politecnico di Milano</v>
          </cell>
        </row>
        <row r="33">
          <cell r="A33" t="str">
            <v>1261659GALLARATE</v>
          </cell>
        </row>
        <row r="34">
          <cell r="A34" t="str">
            <v>1408513GALLARATE</v>
          </cell>
        </row>
        <row r="35">
          <cell r="A35" t="str">
            <v>1411347GALLARATE</v>
          </cell>
        </row>
        <row r="36">
          <cell r="A36" t="str">
            <v>1411576GALLARATE</v>
          </cell>
        </row>
        <row r="37">
          <cell r="A37" t="str">
            <v>1411673GALLARATE</v>
          </cell>
        </row>
        <row r="38">
          <cell r="A38" t="str">
            <v>1475877Università Cattolica del Sacro Cuore</v>
          </cell>
        </row>
        <row r="39">
          <cell r="A39" t="str">
            <v>1161412"TECHNOSPRINGS ITALIA S.R.L."</v>
          </cell>
        </row>
        <row r="40">
          <cell r="A40" t="str">
            <v>1161412Consiglio Nazionale delle Ricerche</v>
          </cell>
        </row>
        <row r="41">
          <cell r="A41" t="str">
            <v>1405441"TECHNOSPRINGS ITALIA S.R.L."</v>
          </cell>
        </row>
        <row r="42">
          <cell r="A42" t="str">
            <v>1405441Consiglio Nazionale delle Ricerche</v>
          </cell>
        </row>
        <row r="43">
          <cell r="A43" t="str">
            <v>1493092Università degli Studi dell'Insubria</v>
          </cell>
        </row>
        <row r="44">
          <cell r="A44" t="str">
            <v>1451171Ente per la Gestione del Parco Regionale di Montevecchia e della Valle del Curone</v>
          </cell>
        </row>
        <row r="45">
          <cell r="A45" t="str">
            <v>1451171CONSORZIO FORESTALE LARIO INTELVESE</v>
          </cell>
        </row>
        <row r="46">
          <cell r="A46" t="str">
            <v>1451171PARCO MONTE BARRO</v>
          </cell>
        </row>
        <row r="47">
          <cell r="A47" t="str">
            <v>1450721UNIONE MONTANA ALTA OSSOLA</v>
          </cell>
        </row>
        <row r="48">
          <cell r="A48" t="str">
            <v>1383036Università degli Studi dell'Insubria</v>
          </cell>
        </row>
        <row r="49">
          <cell r="A49" t="str">
            <v>1383036Università del Piemonte Orientale</v>
          </cell>
        </row>
        <row r="50">
          <cell r="A50" t="str">
            <v>1461355ENTE VILLA CARLOTTA</v>
          </cell>
        </row>
        <row r="51">
          <cell r="A51" t="str">
            <v>1344345CENTRO DI RICERCA E DOCUMENTAZIONE LUIGI EINAUDI</v>
          </cell>
        </row>
        <row r="52">
          <cell r="A52" t="str">
            <v>1344345FORMAZIONE INSERIMENTO LAVORATIVO ORIENTAMENTO SERVIZI SOCIETA'COOPERATIVA</v>
          </cell>
        </row>
        <row r="53">
          <cell r="A53" t="str">
            <v>1344345CONSORZIO INTERCOMUNALE SERVIZI SOCIALI OSSOLA</v>
          </cell>
        </row>
        <row r="54">
          <cell r="A54" t="str">
            <v>1476521CONSORZIO INTERCOMUNALE SERVIZI SOCIALI OSSOLA</v>
          </cell>
        </row>
        <row r="55">
          <cell r="A55" t="str">
            <v>1476521FORMAZIONE INSERIMENTO LAVORATIVO ORIENTAMENTO SERVIZI SOCIETA'COOPERATIVA</v>
          </cell>
        </row>
        <row r="56">
          <cell r="A56" t="str">
            <v>1483127Università degli Studi dell'Insubria</v>
          </cell>
        </row>
        <row r="57">
          <cell r="A57" t="str">
            <v>1450113Politecnico di Milano</v>
          </cell>
        </row>
        <row r="58">
          <cell r="A58" t="str">
            <v>1450113FONDAZIONE POLITECNICO DI MILANO</v>
          </cell>
        </row>
        <row r="59">
          <cell r="A59" t="str">
            <v>1380764Regione Autonoma Valle d'Aosta</v>
          </cell>
        </row>
        <row r="60">
          <cell r="A60" t="str">
            <v>1380764Agenzia regionale per la protezione dell'ambiente della Valle d'Aosta</v>
          </cell>
        </row>
        <row r="61">
          <cell r="A61" t="str">
            <v>1380764Fondazione Montagna sicura - Montagne sûre</v>
          </cell>
        </row>
        <row r="62">
          <cell r="A62" t="str">
            <v>1380764Institut Agricole Régional</v>
          </cell>
        </row>
        <row r="63">
          <cell r="A63" t="str">
            <v>1495102Comune di Macugnaga</v>
          </cell>
        </row>
        <row r="64">
          <cell r="A64" t="str">
            <v>1507212AZIENDA SOCIO SANITARIA TERRITORIALE DELLA VALTELLINA E DELL'ALTO LARIO</v>
          </cell>
        </row>
        <row r="65">
          <cell r="A65" t="str">
            <v>1453095Università degli Studi di Milano</v>
          </cell>
        </row>
        <row r="66">
          <cell r="A66" t="str">
            <v>1248245G.R.A.I.A. SRL GESTIONE E RICERCA AMBIENTALE ITTICA ACQUE</v>
          </cell>
        </row>
        <row r="67">
          <cell r="A67" t="str">
            <v>1453958Politecnico di Milano</v>
          </cell>
        </row>
        <row r="68">
          <cell r="A68" t="str">
            <v>1254036FONDAZIONE POLITECNICO DI MILANO</v>
          </cell>
        </row>
        <row r="69">
          <cell r="A69" t="str">
            <v>1254036Politecnico di Milano</v>
          </cell>
        </row>
        <row r="70">
          <cell r="A70" t="str">
            <v>1404532Politecnico di Milano</v>
          </cell>
        </row>
        <row r="71">
          <cell r="A71" t="str">
            <v>1404532FONDAZIONE POLITECNICO DI MILANO</v>
          </cell>
        </row>
        <row r="72">
          <cell r="A72" t="str">
            <v>1232145comune di Saint-Rhémy-en-Bosses</v>
          </cell>
        </row>
        <row r="73">
          <cell r="A73" t="str">
            <v>1403938Università degli Studi dell'Insubria</v>
          </cell>
        </row>
        <row r="74">
          <cell r="A74" t="str">
            <v>1403938PTSCLAS</v>
          </cell>
        </row>
        <row r="75">
          <cell r="A75" t="str">
            <v>1403938UNIVERSITA' CARLO CATTANEO - LIUC</v>
          </cell>
        </row>
        <row r="76">
          <cell r="A76" t="str">
            <v>1453283Provincia di Novara</v>
          </cell>
        </row>
        <row r="77">
          <cell r="A77" t="str">
            <v>1453815LUINO</v>
          </cell>
        </row>
        <row r="78">
          <cell r="A78" t="str">
            <v>1498150LUINO</v>
          </cell>
        </row>
        <row r="79">
          <cell r="A79" t="str">
            <v>1498204LUINO</v>
          </cell>
        </row>
        <row r="80">
          <cell r="A80" t="str">
            <v>1498229LUINO</v>
          </cell>
        </row>
        <row r="81">
          <cell r="A81" t="str">
            <v>1499255LUINO</v>
          </cell>
        </row>
        <row r="82">
          <cell r="A82" t="str">
            <v>1505355LUINO</v>
          </cell>
        </row>
        <row r="83">
          <cell r="A83" t="str">
            <v>1506945LUINO</v>
          </cell>
        </row>
        <row r="84">
          <cell r="A84" t="str">
            <v>1507844LUINO</v>
          </cell>
        </row>
        <row r="85">
          <cell r="A85" t="str">
            <v>1508475LUINO</v>
          </cell>
        </row>
        <row r="86">
          <cell r="A86" t="str">
            <v>1509016LUINO</v>
          </cell>
        </row>
        <row r="87">
          <cell r="A87" t="str">
            <v>1426352Agenzia del trasporto pubblico del bacino di Como, Lecco e Varese</v>
          </cell>
        </row>
        <row r="88">
          <cell r="A88" t="str">
            <v>1408656UNIVERSITA' CARLO CATTANEO - LIUC</v>
          </cell>
        </row>
        <row r="89">
          <cell r="A89" t="str">
            <v>1316605Camera di Commercio Industria Artigianato Agricoltura di Novara</v>
          </cell>
        </row>
        <row r="90">
          <cell r="A90" t="str">
            <v>1316605Camera di Commercio del Verbano Cusio Ossola</v>
          </cell>
        </row>
        <row r="91">
          <cell r="A91" t="str">
            <v>1393207Camera di Commercio Industria Artigianato Agricoltura di Novara</v>
          </cell>
        </row>
        <row r="92">
          <cell r="A92" t="str">
            <v>1393207Camera di Commercio del Verbano Cusio Ossola</v>
          </cell>
        </row>
        <row r="93">
          <cell r="A93" t="str">
            <v>1447547Camera di Commercio Industria Artigianato Agricoltura di Novara</v>
          </cell>
        </row>
        <row r="94">
          <cell r="A94" t="str">
            <v>1447547Camera di Commercio del Verbano Cusio Ossola</v>
          </cell>
        </row>
        <row r="95">
          <cell r="A95" t="str">
            <v>1210203Institut Agricole Régional</v>
          </cell>
        </row>
        <row r="96">
          <cell r="A96" t="str">
            <v>1259594Institut Agricole Régional</v>
          </cell>
        </row>
        <row r="97">
          <cell r="A97" t="str">
            <v>1390371Institut Agricole Régional</v>
          </cell>
        </row>
        <row r="98">
          <cell r="A98" t="str">
            <v>1476249DEMETRA SPECIALIST S.R.L.</v>
          </cell>
        </row>
        <row r="99">
          <cell r="A99" t="str">
            <v>1459619COMUNITA' MONTANA VALLI DEL LARIO E DEL CERESIO</v>
          </cell>
        </row>
        <row r="100">
          <cell r="A100" t="str">
            <v>1460114PROVINCIA DI LECCO</v>
          </cell>
        </row>
        <row r="101">
          <cell r="A101" t="str">
            <v>1480584MONTAGNE DEL LAGO DI COMO</v>
          </cell>
        </row>
        <row r="102">
          <cell r="A102" t="str">
            <v>1486193NORTH LAKE COMO ASSOCIAZIONE TURISMO E COMMERCIO ALTO LAGO DI COMO</v>
          </cell>
        </row>
        <row r="103">
          <cell r="A103" t="str">
            <v>1488222LECCO</v>
          </cell>
        </row>
        <row r="104">
          <cell r="A104" t="str">
            <v>1490251COMUNITA' MONTANA VALLI DEL LARIO E DEL CERESIO</v>
          </cell>
        </row>
        <row r="105">
          <cell r="A105" t="str">
            <v>1492982CONSORZIO PER LA PROMOZIONE TURISTICA DELLA VALCHIAVENNA</v>
          </cell>
        </row>
        <row r="106">
          <cell r="A106" t="str">
            <v>1322533Fondazione"Monastero Santa Maria del Lavello"</v>
          </cell>
        </row>
        <row r="107">
          <cell r="A107" t="str">
            <v>1458772COMUNITA' MONTANA VALSASSINA VALVARRONE VAL D'ESINO E RIVIERA</v>
          </cell>
        </row>
        <row r="108">
          <cell r="A108" t="str">
            <v>1481471Università Cattolica del Sacro Cuore</v>
          </cell>
        </row>
        <row r="109">
          <cell r="A109" t="str">
            <v>1458772Provincia di Lecco</v>
          </cell>
        </row>
        <row r="110">
          <cell r="A110" t="str">
            <v>1458772FONDAZIONE LUIGI CLERICI</v>
          </cell>
        </row>
        <row r="111">
          <cell r="A111" t="str">
            <v>1514382Institut Agricole Régional</v>
          </cell>
        </row>
        <row r="112">
          <cell r="A112" t="str">
            <v>1514382Links - LEADING INNOVATION &amp; KNOWLEDGE FOR SOCIETY            DELL'INFORMAZIONE E DELLE TELECOMUNICAZIONI</v>
          </cell>
        </row>
        <row r="113">
          <cell r="A113" t="str">
            <v>1409270Comune di Ollomont</v>
          </cell>
        </row>
        <row r="114">
          <cell r="A114" t="str">
            <v>1409270Comune di Valpelline</v>
          </cell>
        </row>
        <row r="115">
          <cell r="A115" t="str">
            <v>1409270UNITE DES COMMUNES VALDÔTAINES GRAND-COMBIN</v>
          </cell>
        </row>
        <row r="116">
          <cell r="A116" t="str">
            <v>1512681Comune di Valpelline</v>
          </cell>
        </row>
        <row r="117">
          <cell r="A117" t="str">
            <v>1601150ARS AMBIENTE S.R.L.</v>
          </cell>
        </row>
        <row r="118">
          <cell r="A118" t="str">
            <v>1506209ASSOCIAZIONE FORTE DI BARD</v>
          </cell>
        </row>
        <row r="119">
          <cell r="A119" t="str">
            <v>1460144COMUNITA' MONTANA DELLA VALCHIAVENNA</v>
          </cell>
        </row>
        <row r="120">
          <cell r="A120" t="str">
            <v>1643632FORMAZIONE INSERIMENTO LAVORATIVO ORIENTAMENTO SERVIZI SOCIETA'COOPERATIVA</v>
          </cell>
        </row>
        <row r="121">
          <cell r="A121" t="str">
            <v>1446369Provincia di Varese</v>
          </cell>
        </row>
        <row r="122">
          <cell r="A122" t="str">
            <v>1576401Università Cattolica del Sacro Cuore</v>
          </cell>
        </row>
        <row r="123">
          <cell r="A123" t="str">
            <v>1412051comune di Saint-Rhémy-en-Bosses</v>
          </cell>
        </row>
        <row r="124">
          <cell r="A124" t="str">
            <v>1412051Fondazione Montagna sicura - Montagne sûre</v>
          </cell>
        </row>
        <row r="125">
          <cell r="A125" t="str">
            <v>1203057RSA MASSIMO LAGOSTINA ONLUS</v>
          </cell>
        </row>
        <row r="126">
          <cell r="A126" t="str">
            <v>1203057Fondazione Opera Pia Dr. Domenico Uccelli Onlus</v>
          </cell>
        </row>
        <row r="127">
          <cell r="A127" t="str">
            <v>1520348Comune di Macugnaga</v>
          </cell>
        </row>
        <row r="128">
          <cell r="A128" t="str">
            <v>1667369Consiglio Nazionale delle Ricerche</v>
          </cell>
        </row>
        <row r="129">
          <cell r="A129" t="str">
            <v>1659524LARIOINTELVESE</v>
          </cell>
        </row>
        <row r="130">
          <cell r="A130" t="str">
            <v>1659524Comune di Centro Valle Intelvi</v>
          </cell>
        </row>
        <row r="131">
          <cell r="A131" t="str">
            <v>1486150ASSOCIATION REGIONALE ELEVEURS VALDOTAINS</v>
          </cell>
        </row>
        <row r="132">
          <cell r="A132" t="str">
            <v>1689255ARS AMBIENTE S.R.L.</v>
          </cell>
        </row>
        <row r="133">
          <cell r="A133" t="str">
            <v>1689255Provincia di Varese</v>
          </cell>
        </row>
        <row r="134">
          <cell r="A134" t="str">
            <v>1447633Camera di Commercio Industria Artigianato Agricoltura di Novara</v>
          </cell>
        </row>
        <row r="135">
          <cell r="A135" t="str">
            <v>1447633Camera di Commercio del Verbano Cusio Ossola</v>
          </cell>
        </row>
        <row r="136">
          <cell r="A136" t="str">
            <v>1460681S.C.R.L. (SOCIETA' CONSORTILE A RESPONSABILITA' LIMITATA) DENOMI NATA DISTRETTO TURISTICO DEI LAGHI - SOCIETA' CONSORTILE A RESPONSABILITA' LIMITATA</v>
          </cell>
        </row>
        <row r="137">
          <cell r="A137" t="str">
            <v>1460681Provincia del Verbano Cusio Ossola</v>
          </cell>
        </row>
        <row r="138">
          <cell r="A138" t="str">
            <v>1504887UNIONE MONTANA VALLE VIGEZZO</v>
          </cell>
        </row>
        <row r="139">
          <cell r="A139" t="str">
            <v>1685662CENTRO DI RICERCA E DOCUMENTAZIONE LUIGI EINAUDI</v>
          </cell>
        </row>
        <row r="140">
          <cell r="A140" t="str">
            <v>1666316LANZO D'INTELVI 1868 S.R.L.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Assi 1-5 finiti"/>
      <sheetName val="Asse 6 certificabile"/>
      <sheetName val="Anticipi aiuto certificabili"/>
      <sheetName val="Aiuti Erogazioni intermedie"/>
      <sheetName val="Prospetto"/>
      <sheetName val="PF IT rimodulato riprogrammato"/>
      <sheetName val="Foglio3"/>
      <sheetName val="Foglio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1404572Associazione Italo Svizzera per gli Scavi di Piuro</v>
          </cell>
        </row>
        <row r="3">
          <cell r="A3" t="str">
            <v>1404572FONDAZIONE POLITECNICO DI MILANO</v>
          </cell>
        </row>
        <row r="4">
          <cell r="A4" t="str">
            <v>1404572Politecnico di Milano</v>
          </cell>
        </row>
        <row r="5">
          <cell r="A5" t="str">
            <v>1460822FONDAZIONE POLITECNICO DI MILANO</v>
          </cell>
        </row>
        <row r="6">
          <cell r="A6" t="str">
            <v>1446369ALFA S.R.L.</v>
          </cell>
        </row>
        <row r="7">
          <cell r="A7" t="str">
            <v>1282320DAYMED SRL</v>
          </cell>
        </row>
        <row r="8">
          <cell r="A8" t="str">
            <v>1207108FONDAZIONE NUOVO TEATRO FARAGGIANA</v>
          </cell>
        </row>
        <row r="9">
          <cell r="A9" t="str">
            <v>1452014FONDAZIONE NUOVO TEATRO FARAGGIANA</v>
          </cell>
        </row>
        <row r="10">
          <cell r="A10" t="str">
            <v>1452014Associazione Didee - arti e comunicazione</v>
          </cell>
        </row>
        <row r="11">
          <cell r="A11" t="str">
            <v>1452014OLTRE LE QUINTE A.P.S.</v>
          </cell>
        </row>
        <row r="12">
          <cell r="A12" t="str">
            <v>1452014IUSEFor</v>
          </cell>
        </row>
        <row r="13">
          <cell r="A13" t="str">
            <v>1452014Università del Piemonte Orientale</v>
          </cell>
        </row>
        <row r="14">
          <cell r="A14" t="str">
            <v>1395362ASSOCIATION REGIONALE ELEVEURS VALDOTAINS</v>
          </cell>
        </row>
        <row r="15">
          <cell r="A15" t="str">
            <v>1486183ASSOCIATION REGIONALE ELEVEURS VALDOTAINS</v>
          </cell>
        </row>
        <row r="16">
          <cell r="A16" t="str">
            <v>1520619ASSOCIATION REGIONALE ELEVEURS VALDOTAINS</v>
          </cell>
        </row>
        <row r="17">
          <cell r="A17" t="str">
            <v>1469166BLU PROGETTI - S.R.L.</v>
          </cell>
        </row>
        <row r="18">
          <cell r="A18" t="str">
            <v>1469166VALCHIAVENNA</v>
          </cell>
        </row>
        <row r="19">
          <cell r="A19" t="str">
            <v>1397751Provincia di Varese</v>
          </cell>
        </row>
        <row r="20">
          <cell r="A20" t="str">
            <v>1397751PROVINCIA DI COMO</v>
          </cell>
        </row>
        <row r="21">
          <cell r="A21" t="str">
            <v>1397751ARS AMBIENTE S.R.L.</v>
          </cell>
        </row>
        <row r="22">
          <cell r="A22" t="str">
            <v>1397751UNIVERSITA ' CARLO CATTANEO - LIUC</v>
          </cell>
        </row>
        <row r="23">
          <cell r="A23" t="str">
            <v>1228019Regione Lombardia</v>
          </cell>
        </row>
        <row r="24">
          <cell r="A24" t="str">
            <v>1228032FONDAZIONE POLITECNICO DI MILANO</v>
          </cell>
        </row>
        <row r="25">
          <cell r="A25" t="str">
            <v>1404358COMO</v>
          </cell>
        </row>
        <row r="26">
          <cell r="A26" t="str">
            <v>1404379Politecnico di Milano</v>
          </cell>
        </row>
        <row r="27">
          <cell r="A27" t="str">
            <v>1475877Università Cattolica del Sacro Cuore</v>
          </cell>
        </row>
        <row r="28">
          <cell r="A28" t="str">
            <v>1161412"TECHNOSPRINGS ITALIA S.R.L."</v>
          </cell>
        </row>
        <row r="29">
          <cell r="A29" t="str">
            <v>1161412Consiglio Nazionale delle Ricerche</v>
          </cell>
        </row>
        <row r="30">
          <cell r="A30" t="str">
            <v>1405441"TECHNOSPRINGS ITALIA S.R.L."</v>
          </cell>
        </row>
        <row r="31">
          <cell r="A31" t="str">
            <v>1405441Consiglio Nazionale delle Ricerche</v>
          </cell>
        </row>
        <row r="32">
          <cell r="A32" t="str">
            <v>1493092Università degli Studi dell'Insubria</v>
          </cell>
        </row>
        <row r="33">
          <cell r="A33" t="str">
            <v>1451171Ente per la Gestione del Parco Regionale di Montevecchia e della Valle del Curone</v>
          </cell>
        </row>
        <row r="34">
          <cell r="A34" t="str">
            <v>1451171CONSORZIO FORESTALE LARIO INTELVESE</v>
          </cell>
        </row>
        <row r="35">
          <cell r="A35" t="str">
            <v>1451171PARCO MONTE BARRO</v>
          </cell>
        </row>
        <row r="36">
          <cell r="A36" t="str">
            <v>1450721UNIONE MONTANA ALTA OSSOLA</v>
          </cell>
        </row>
        <row r="37">
          <cell r="A37" t="str">
            <v>1383036Università degli Studi dell'Insubria</v>
          </cell>
        </row>
        <row r="38">
          <cell r="A38" t="str">
            <v>1461355ENTE VILLA CARLOTTA</v>
          </cell>
        </row>
        <row r="39">
          <cell r="A39" t="str">
            <v>1344345CENTRO DI RICERCA E DOCUMENTAZIONE LUIGI EINAUDI</v>
          </cell>
        </row>
        <row r="40">
          <cell r="A40" t="str">
            <v>1344345FORMAZIONE INSERIMENTO LAVORATIVO ORIENTAMENTO SERVIZI SOCIETA'COOPERATIVA</v>
          </cell>
        </row>
        <row r="41">
          <cell r="A41" t="str">
            <v>1344345CONSORZIO INTERCOMUNALE SERVIZI SOCIALI OSSOLA</v>
          </cell>
        </row>
        <row r="42">
          <cell r="A42" t="str">
            <v>1476521CONSORZIO INTERCOMUNALE SERVIZI SOCIALI OSSOLA</v>
          </cell>
        </row>
        <row r="43">
          <cell r="A43" t="str">
            <v>1476521FORMAZIONE INSERIMENTO LAVORATIVO ORIENTAMENTO SERVIZI SOCIETA'COOPERATIVA</v>
          </cell>
        </row>
        <row r="44">
          <cell r="A44" t="str">
            <v>1483127Università degli Studi dell'Insubria</v>
          </cell>
        </row>
        <row r="45">
          <cell r="A45" t="str">
            <v>1450113Politecnico di Milano</v>
          </cell>
        </row>
        <row r="46">
          <cell r="A46" t="str">
            <v>1450113FONDAZIONE POLITECNICO DI MILANO</v>
          </cell>
        </row>
        <row r="47">
          <cell r="A47" t="str">
            <v>1380764Regione Autonoma Valle d'Aosta</v>
          </cell>
        </row>
        <row r="48">
          <cell r="A48" t="str">
            <v>1380764Agenzia regionale per la protezione dell'ambiente della Valle d'Aosta</v>
          </cell>
        </row>
        <row r="49">
          <cell r="A49" t="str">
            <v>1380764Fondazione Montagna sicura - Montagne sûre</v>
          </cell>
        </row>
        <row r="50">
          <cell r="A50" t="str">
            <v>1380764Institut Agricole Régional</v>
          </cell>
        </row>
        <row r="51">
          <cell r="A51" t="str">
            <v>1507212AZIENDA SOCIO SANITARIA TERRITORIALE DELLA VALTELLINA E DELL'ALTO LARIO</v>
          </cell>
        </row>
        <row r="52">
          <cell r="A52" t="str">
            <v>1453095Università degli Studi di Milano</v>
          </cell>
        </row>
        <row r="53">
          <cell r="A53" t="str">
            <v>1248245G.R.A.I.A. SRL GESTIONE E RICERCA AMBIENTALE ITTICA ACQUE</v>
          </cell>
        </row>
        <row r="54">
          <cell r="A54" t="str">
            <v>1453958Politecnico di Milano</v>
          </cell>
        </row>
        <row r="55">
          <cell r="A55" t="str">
            <v>1254036FONDAZIONE POLITECNICO DI MILANO</v>
          </cell>
        </row>
        <row r="56">
          <cell r="A56" t="str">
            <v>1254036Politecnico di Milano</v>
          </cell>
        </row>
        <row r="57">
          <cell r="A57" t="str">
            <v>1404532Politecnico di Milano</v>
          </cell>
        </row>
        <row r="58">
          <cell r="A58" t="str">
            <v>1404532FONDAZIONE POLITECNICO DI MILANO</v>
          </cell>
        </row>
        <row r="59">
          <cell r="A59" t="str">
            <v>1232145comune di Saint-Rhémy-en-Bosses</v>
          </cell>
        </row>
        <row r="60">
          <cell r="A60" t="str">
            <v>1403938Università degli Studi dell'Insubria</v>
          </cell>
        </row>
        <row r="61">
          <cell r="A61" t="str">
            <v>1403938PTSCLAS</v>
          </cell>
        </row>
        <row r="62">
          <cell r="A62" t="str">
            <v>1403938UNIVERSITA' CARLO CATTANEO - LIUC</v>
          </cell>
        </row>
        <row r="63">
          <cell r="A63" t="str">
            <v>1453283Provincia di Novara</v>
          </cell>
        </row>
        <row r="64">
          <cell r="A64" t="str">
            <v>1453815LUINO</v>
          </cell>
        </row>
        <row r="65">
          <cell r="A65" t="str">
            <v>1498150LUINO</v>
          </cell>
        </row>
        <row r="66">
          <cell r="A66" t="str">
            <v>1498204LUINO</v>
          </cell>
        </row>
        <row r="67">
          <cell r="A67" t="str">
            <v>1498229LUINO</v>
          </cell>
        </row>
        <row r="68">
          <cell r="A68" t="str">
            <v>1499255LUINO</v>
          </cell>
        </row>
        <row r="69">
          <cell r="A69" t="str">
            <v>1505355LUINO</v>
          </cell>
        </row>
        <row r="70">
          <cell r="A70" t="str">
            <v>1506945LUINO</v>
          </cell>
        </row>
        <row r="71">
          <cell r="A71" t="str">
            <v>1507844LUINO</v>
          </cell>
        </row>
        <row r="72">
          <cell r="A72" t="str">
            <v>1426352Agenzia del trasporto pubblico del bacino di Como, Lecco e Varese</v>
          </cell>
        </row>
        <row r="73">
          <cell r="A73" t="str">
            <v>1408656UNIVERSITA' CARLO CATTANEO - LIUC</v>
          </cell>
        </row>
        <row r="74">
          <cell r="A74" t="str">
            <v>1316605Camera di Commercio Industria Artigianato Agricoltura di Novara</v>
          </cell>
        </row>
        <row r="75">
          <cell r="A75" t="str">
            <v>1316605Camera di Commercio del Verbano Cusio Ossola</v>
          </cell>
        </row>
        <row r="76">
          <cell r="A76" t="str">
            <v>1393207Camera di Commercio Industria Artigianato Agricoltura di Novara</v>
          </cell>
        </row>
        <row r="77">
          <cell r="A77" t="str">
            <v>1393207Camera di Commercio del Verbano Cusio Ossola</v>
          </cell>
        </row>
        <row r="78">
          <cell r="A78" t="str">
            <v>1447547Camera di Commercio Industria Artigianato Agricoltura di Novara</v>
          </cell>
        </row>
        <row r="79">
          <cell r="A79" t="str">
            <v>1447547Camera di Commercio del Verbano Cusio Ossola</v>
          </cell>
        </row>
        <row r="80">
          <cell r="A80" t="str">
            <v>1210203Institut Agricole Régional</v>
          </cell>
        </row>
        <row r="81">
          <cell r="A81" t="str">
            <v>1259594Institut Agricole Régional</v>
          </cell>
        </row>
        <row r="82">
          <cell r="A82" t="str">
            <v>1390371Institut Agricole Régional</v>
          </cell>
        </row>
        <row r="83">
          <cell r="A83" t="str">
            <v>1476249DEMETRA SPECIALIST S.R.L.</v>
          </cell>
        </row>
        <row r="84">
          <cell r="A84" t="str">
            <v>1459619COMUNITA' MONTANA VALLI DEL LARIO E DEL CERESIO</v>
          </cell>
        </row>
        <row r="85">
          <cell r="A85" t="str">
            <v>1460114PROVINCIA DI LECCO</v>
          </cell>
        </row>
        <row r="86">
          <cell r="A86" t="str">
            <v>1480584MONTAGNE DEL LAGO DI COMO</v>
          </cell>
        </row>
        <row r="87">
          <cell r="A87" t="str">
            <v>1486193NORTH LAKE COMO ASSOCIAZIONE TURISMO E COMMERCIO ALTO LAGO DI COMO</v>
          </cell>
        </row>
        <row r="88">
          <cell r="A88" t="str">
            <v>1488222LECCO</v>
          </cell>
        </row>
        <row r="89">
          <cell r="A89" t="str">
            <v>1490251COMUNITA' MONTANA VALLI DEL LARIO E DEL CERESIO</v>
          </cell>
        </row>
        <row r="90">
          <cell r="A90" t="str">
            <v>1492982CONSORZIO PER LA PROMOZIONE TURISTICA DELLA VALCHIAVENNA</v>
          </cell>
        </row>
        <row r="91">
          <cell r="A91" t="str">
            <v>1458772COMUNITA' MONTANA VALSASSINA VALVARRONE VAL D'ESINO E RIVIERA</v>
          </cell>
        </row>
        <row r="92">
          <cell r="A92" t="str">
            <v>1481471Università Cattolica del Sacro Cuore</v>
          </cell>
        </row>
        <row r="93">
          <cell r="A93" t="str">
            <v>1458772Provincia di Lecco</v>
          </cell>
        </row>
        <row r="94">
          <cell r="A94" t="str">
            <v>1514382Institut Agricole Régional</v>
          </cell>
        </row>
        <row r="95">
          <cell r="A95" t="str">
            <v>1514382Links - LEADING INNOVATION &amp; KNOWLEDGE FOR SOCIETY            DELL'INFORMAZIONE E DELLE TELECOMUNICAZIONI</v>
          </cell>
        </row>
        <row r="96">
          <cell r="A96" t="str">
            <v>1601150ARS AMBIENTE S.R.L.</v>
          </cell>
        </row>
        <row r="97">
          <cell r="A97" t="str">
            <v>1460144COMUNITA' MONTANA DELLA VALCHIAVENNA</v>
          </cell>
        </row>
        <row r="98">
          <cell r="A98" t="str">
            <v>1643632FORMAZIONE INSERIMENTO LAVORATIVO ORIENTAMENTO SERVIZI SOCIETA'COOPERATIVA</v>
          </cell>
        </row>
        <row r="99">
          <cell r="A99" t="str">
            <v>1412051comune di Saint-Rhémy-en-Bosses</v>
          </cell>
        </row>
        <row r="100">
          <cell r="A100" t="str">
            <v>1412051Fondazione Montagna sicura - Montagne sûre</v>
          </cell>
        </row>
        <row r="101">
          <cell r="A101" t="str">
            <v>1203057RSA MASSIMO LAGOSTINA ONLUS</v>
          </cell>
        </row>
        <row r="102">
          <cell r="A102" t="str">
            <v>1203057Fondazione Opera Pia Dr. Domenico Uccelli Onlus</v>
          </cell>
        </row>
        <row r="103">
          <cell r="A103" t="str">
            <v>1667369Consiglio Nazionale delle Ricerche</v>
          </cell>
        </row>
        <row r="104">
          <cell r="A104" t="str">
            <v>1659524Comune di Centro Valle Intelvi</v>
          </cell>
        </row>
        <row r="105">
          <cell r="A105" t="str">
            <v>1486150ASSOCIATION REGIONALE ELEVEURS VALDOTAINS</v>
          </cell>
        </row>
        <row r="106">
          <cell r="A106" t="str">
            <v>1689255ARS AMBIENTE S.R.L.</v>
          </cell>
        </row>
        <row r="107">
          <cell r="A107" t="str">
            <v>1689255Provincia di Varese</v>
          </cell>
        </row>
        <row r="108">
          <cell r="A108" t="str">
            <v>1460681S.C.R.L. (SOCIETA' CONSORTILE A RESPONSABILITA' LIMITATA) DENOMI NATA DISTRETTO TURISTICO DEI LAGHI - SOCIETA' CONSORTILE A RESPONSABILITA' LIMITATA</v>
          </cell>
        </row>
        <row r="109">
          <cell r="A109" t="str">
            <v>1460681Provincia del Verbano Cusio Ossola</v>
          </cell>
        </row>
        <row r="110">
          <cell r="A110" t="str">
            <v>1666316LANZO D'INTELVI 1868 S.R.L.</v>
          </cell>
        </row>
      </sheetData>
      <sheetData sheetId="8">
        <row r="2">
          <cell r="A2" t="str">
            <v>1447547Camera di Commercio Industria Artigianato Agricoltura di Novara</v>
          </cell>
        </row>
        <row r="3">
          <cell r="A3" t="str">
            <v>1447547Camera di Commercio del Verbano Cusio Ossola</v>
          </cell>
        </row>
        <row r="4">
          <cell r="A4" t="str">
            <v>1393207Camera di Commercio Industria Artigianato Agricoltura di Novara</v>
          </cell>
        </row>
        <row r="5">
          <cell r="A5" t="str">
            <v>1393207Camera di Commercio del Verbano Cusio Ossola</v>
          </cell>
        </row>
        <row r="6">
          <cell r="A6" t="str">
            <v>1316605Camera di Commercio del Verbano Cusio Ossola</v>
          </cell>
        </row>
        <row r="7">
          <cell r="A7" t="str">
            <v>1316605Camera di Commercio Industria Artigianato Agricoltura di Novara</v>
          </cell>
        </row>
        <row r="8">
          <cell r="A8" t="str">
            <v>1403938Università degli Studi dell'Insubria</v>
          </cell>
        </row>
        <row r="9">
          <cell r="A9" t="str">
            <v>1403938PTSCLAS</v>
          </cell>
        </row>
        <row r="10">
          <cell r="A10" t="str">
            <v>1403938UNIVERSITA' CARLO CATTANEO - LIUC</v>
          </cell>
        </row>
        <row r="11">
          <cell r="A11" t="str">
            <v>1469166BLU PROGETTI - S.R.L.</v>
          </cell>
        </row>
        <row r="12">
          <cell r="A12" t="str">
            <v>1469166VALCHIAVENNA</v>
          </cell>
        </row>
        <row r="13">
          <cell r="A13" t="str">
            <v>1451171PARCO MONTE BARRO</v>
          </cell>
        </row>
        <row r="14">
          <cell r="A14" t="str">
            <v>1451171CONSORZIO FORESTALE LARIO INTELVESE</v>
          </cell>
        </row>
        <row r="15">
          <cell r="A15" t="str">
            <v>1451171Ente per la Gestione del Parco Regionale di Montevecchia e della Valle del Curone</v>
          </cell>
        </row>
        <row r="16">
          <cell r="A16" t="str">
            <v>1404358COMO</v>
          </cell>
        </row>
        <row r="17">
          <cell r="A17" t="str">
            <v>1228019Regione Lombardia</v>
          </cell>
        </row>
        <row r="18">
          <cell r="A18" t="str">
            <v>1404379Politecnico di Milano</v>
          </cell>
        </row>
        <row r="19">
          <cell r="A19" t="str">
            <v>1228032FONDAZIONE POLITECNICO DI MILANO</v>
          </cell>
        </row>
        <row r="20">
          <cell r="A20" t="str">
            <v>1383036Università degli Studi dell'Insubria</v>
          </cell>
        </row>
        <row r="21">
          <cell r="A21" t="str">
            <v>1659524Comune di Centro Valle Intelvi</v>
          </cell>
        </row>
        <row r="22">
          <cell r="A22" t="str">
            <v>1453095Università degli Studi di Milano</v>
          </cell>
        </row>
        <row r="23">
          <cell r="A23" t="str">
            <v>1426352Agenzia del trasporto pubblico del bacino di Como, Lecco e Varese</v>
          </cell>
        </row>
        <row r="24">
          <cell r="A24" t="str">
            <v>1481471Università Cattolica del Sacro Cuore</v>
          </cell>
        </row>
        <row r="25">
          <cell r="A25" t="str">
            <v>1203057Fondazione Opera Pia Dr. Domenico Uccelli Onlus</v>
          </cell>
        </row>
        <row r="26">
          <cell r="A26" t="str">
            <v>1203057RSA MASSIMO LAGOSTINA ONLUS</v>
          </cell>
        </row>
        <row r="27">
          <cell r="A27" t="str">
            <v>1450113FONDAZIONE POLITECNICO DI MILANO</v>
          </cell>
        </row>
        <row r="28">
          <cell r="A28" t="str">
            <v>1450113Politecnico di Milano</v>
          </cell>
        </row>
        <row r="29">
          <cell r="A29" t="str">
            <v>1483127Università degli Studi dell'Insubria</v>
          </cell>
        </row>
        <row r="30">
          <cell r="A30" t="str">
            <v>1514382Links - LEADING INNOVATION &amp; KNOWLEDGE FOR SOCIETY            DELL'INFORMAZIONE E DELLE TELECOMUNICAZIONI</v>
          </cell>
        </row>
        <row r="31">
          <cell r="A31" t="str">
            <v>1514382Institut Agricole Régional</v>
          </cell>
        </row>
        <row r="32">
          <cell r="A32" t="str">
            <v>1210203Institut Agricole Régional</v>
          </cell>
        </row>
        <row r="33">
          <cell r="A33" t="str">
            <v>1259594Institut Agricole Régional</v>
          </cell>
        </row>
        <row r="34">
          <cell r="A34" t="str">
            <v>1390371Institut Agricole Régional</v>
          </cell>
        </row>
        <row r="35">
          <cell r="A35" t="str">
            <v>1408656UNIVERSITA' CARLO CATTANEO - LIUC</v>
          </cell>
        </row>
        <row r="36">
          <cell r="A36" t="str">
            <v>1520619ASSOCIATION REGIONALE ELEVEURS VALDOTAINS</v>
          </cell>
        </row>
        <row r="37">
          <cell r="A37" t="str">
            <v>1486150ASSOCIATION REGIONALE ELEVEURS VALDOTAINS</v>
          </cell>
        </row>
        <row r="38">
          <cell r="A38" t="str">
            <v>1486183ASSOCIATION REGIONALE ELEVEURS VALDOTAINS</v>
          </cell>
        </row>
        <row r="39">
          <cell r="A39" t="str">
            <v>1395362ASSOCIATION REGIONALE ELEVEURS VALDOTAINS</v>
          </cell>
        </row>
        <row r="40">
          <cell r="A40" t="str">
            <v>1689255ARS AMBIENTE S.R.L.</v>
          </cell>
        </row>
        <row r="41">
          <cell r="A41" t="str">
            <v>1689255Provincia di Varese</v>
          </cell>
        </row>
        <row r="42">
          <cell r="A42" t="str">
            <v>1601150ARS AMBIENTE S.R.L.</v>
          </cell>
        </row>
        <row r="43">
          <cell r="A43" t="str">
            <v>1397751PROVINCIA DI COMO</v>
          </cell>
        </row>
        <row r="44">
          <cell r="A44" t="str">
            <v>1397751ARS AMBIENTE S.R.L.</v>
          </cell>
        </row>
        <row r="45">
          <cell r="A45" t="str">
            <v>1397751UNIVERSITA ' CARLO CATTANEO - LIUC</v>
          </cell>
        </row>
        <row r="46">
          <cell r="A46" t="str">
            <v>1397751Provincia di Varese</v>
          </cell>
        </row>
        <row r="47">
          <cell r="A47" t="str">
            <v>1460681Provincia del Verbano Cusio Ossola</v>
          </cell>
        </row>
        <row r="48">
          <cell r="A48" t="str">
            <v>1460681S.C.R.L. (SOCIETA' CONSORTILE A RESPONSABILITA' LIMITATA) DENOMI NATA DISTRETTO TURISTICO DEI LAGHI - SOCIETA' CONSORTILE A RESPONSABILITA' LIMITATA</v>
          </cell>
        </row>
        <row r="49">
          <cell r="A49" t="str">
            <v>1404532FONDAZIONE POLITECNICO DI MILANO</v>
          </cell>
        </row>
        <row r="50">
          <cell r="A50" t="str">
            <v>1404532Politecnico di Milano</v>
          </cell>
        </row>
        <row r="51">
          <cell r="A51" t="str">
            <v>1254036FONDAZIONE POLITECNICO DI MILANO</v>
          </cell>
        </row>
        <row r="52">
          <cell r="A52" t="str">
            <v>1254036Politecnico di Milano</v>
          </cell>
        </row>
        <row r="53">
          <cell r="A53" t="str">
            <v>1452014FONDAZIONE NUOVO TEATRO FARAGGIANA</v>
          </cell>
        </row>
        <row r="54">
          <cell r="A54" t="str">
            <v>1452014Associazione Didee - arti e comunicazione</v>
          </cell>
        </row>
        <row r="55">
          <cell r="A55" t="str">
            <v>1452014OLTRE LE QUINTE A.P.S.</v>
          </cell>
        </row>
        <row r="56">
          <cell r="A56" t="str">
            <v>1452014IUSEFor</v>
          </cell>
        </row>
        <row r="57">
          <cell r="A57" t="str">
            <v>1452014Università del Piemonte Orientale</v>
          </cell>
        </row>
        <row r="58">
          <cell r="A58" t="str">
            <v>1207108FONDAZIONE NUOVO TEATRO FARAGGIANA</v>
          </cell>
        </row>
        <row r="59">
          <cell r="A59" t="str">
            <v>1492982CONSORZIO PER LA PROMOZIONE TURISTICA DELLA VALCHIAVENNA</v>
          </cell>
        </row>
        <row r="60">
          <cell r="A60" t="str">
            <v>1460144COMUNITA' MONTANA DELLA VALCHIAVENNA</v>
          </cell>
        </row>
        <row r="61">
          <cell r="A61" t="str">
            <v>1480584MONTAGNE DEL LAGO DI COMO</v>
          </cell>
        </row>
        <row r="62">
          <cell r="A62" t="str">
            <v>1459619COMUNITA' MONTANA VALLI DEL LARIO E DEL CERESIO</v>
          </cell>
        </row>
        <row r="63">
          <cell r="A63" t="str">
            <v>1490251COMUNITA' MONTANA VALLI DEL LARIO E DEL CERESIO</v>
          </cell>
        </row>
        <row r="64">
          <cell r="A64" t="str">
            <v>1486193NORTH LAKE COMO ASSOCIAZIONE TURISMO E COMMERCIO ALTO LAGO DI COMO</v>
          </cell>
        </row>
        <row r="65">
          <cell r="A65" t="str">
            <v>1488222LECCO</v>
          </cell>
        </row>
        <row r="66">
          <cell r="A66" t="str">
            <v>1460114PROVINCIA DI LECCO</v>
          </cell>
        </row>
        <row r="67">
          <cell r="A67" t="str">
            <v>1667369Consiglio Nazionale delle Ricerche</v>
          </cell>
        </row>
        <row r="68">
          <cell r="A68" t="str">
            <v>1405441"TECHNOSPRINGS ITALIA S.R.L."</v>
          </cell>
        </row>
        <row r="69">
          <cell r="A69" t="str">
            <v>1405441Consiglio Nazionale delle Ricerche</v>
          </cell>
        </row>
        <row r="70">
          <cell r="A70" t="str">
            <v>1161412"TECHNOSPRINGS ITALIA S.R.L."</v>
          </cell>
        </row>
        <row r="71">
          <cell r="A71" t="str">
            <v>1161412Consiglio Nazionale delle Ricerche</v>
          </cell>
        </row>
        <row r="72">
          <cell r="A72" t="str">
            <v>1458772COMUNITA' MONTANA VALSASSINA VALVARRONE VAL D'ESINO E RIVIERA</v>
          </cell>
        </row>
        <row r="73">
          <cell r="A73" t="str">
            <v>1458772Provincia di Lecco</v>
          </cell>
        </row>
        <row r="74">
          <cell r="A74" t="str">
            <v>1380764Institut Agricole Régional</v>
          </cell>
        </row>
        <row r="75">
          <cell r="A75" t="str">
            <v>1380764Agenzia regionale per la protezione dell'ambiente della Valle d'Aosta</v>
          </cell>
        </row>
        <row r="76">
          <cell r="A76" t="str">
            <v>1380764Fondazione Montagna sicura - Montagne sûre</v>
          </cell>
        </row>
        <row r="77">
          <cell r="A77" t="str">
            <v>1380764Regione Autonoma Valle d'Aosta</v>
          </cell>
        </row>
        <row r="78">
          <cell r="A78" t="str">
            <v>1380764Regione Autonoma Valle d'Aosta</v>
          </cell>
        </row>
        <row r="79">
          <cell r="A79" t="str">
            <v>1446369ALFA S.R.L.</v>
          </cell>
        </row>
        <row r="80">
          <cell r="A80" t="str">
            <v>1475877Università Cattolica del Sacro Cuore</v>
          </cell>
        </row>
        <row r="81">
          <cell r="A81" t="str">
            <v>1666316LANZO D'INTELVI 1868 S.R.L.</v>
          </cell>
        </row>
        <row r="82">
          <cell r="A82" t="str">
            <v>1461355ENTE VILLA CARLOTTA</v>
          </cell>
        </row>
        <row r="83">
          <cell r="A83" t="str">
            <v>1450721UNIONE MONTANA ALTA OSSOLA</v>
          </cell>
        </row>
        <row r="84">
          <cell r="A84" t="str">
            <v>1460822FONDAZIONE POLITECNICO DI MILANO</v>
          </cell>
        </row>
        <row r="85">
          <cell r="A85" t="str">
            <v>1404572Politecnico di Milano</v>
          </cell>
        </row>
        <row r="86">
          <cell r="A86" t="str">
            <v>1404572FONDAZIONE POLITECNICO DI MILANO</v>
          </cell>
        </row>
        <row r="87">
          <cell r="A87" t="str">
            <v>1404572Associazione Italo Svizzera per gli Scavi di Piuro</v>
          </cell>
        </row>
        <row r="88">
          <cell r="A88" t="str">
            <v>1453958Politecnico di Milano</v>
          </cell>
        </row>
        <row r="89">
          <cell r="A89" t="str">
            <v>1248245G.R.A.I.A. SRL GESTIONE E RICERCA AMBIENTALE ITTICA ACQUE</v>
          </cell>
        </row>
        <row r="90">
          <cell r="A90" t="str">
            <v>1498204LUINO</v>
          </cell>
        </row>
        <row r="91">
          <cell r="A91" t="str">
            <v>1507844LUINO</v>
          </cell>
        </row>
        <row r="92">
          <cell r="A92" t="str">
            <v>1498150LUINO</v>
          </cell>
        </row>
        <row r="93">
          <cell r="A93" t="str">
            <v>1498229LUINO</v>
          </cell>
        </row>
        <row r="94">
          <cell r="A94" t="str">
            <v>1499255LUINO</v>
          </cell>
        </row>
        <row r="95">
          <cell r="A95" t="str">
            <v>1506945LUINO</v>
          </cell>
        </row>
        <row r="96">
          <cell r="A96" t="str">
            <v>1505355LUINO</v>
          </cell>
        </row>
        <row r="97">
          <cell r="A97" t="str">
            <v>1453815LUINO</v>
          </cell>
        </row>
        <row r="98">
          <cell r="A98" t="str">
            <v>1476249DEMETRA SPECIALIST S.R.L.</v>
          </cell>
        </row>
        <row r="99">
          <cell r="A99" t="str">
            <v>1643632FORMAZIONE INSERIMENTO LAVORATIVO ORIENTAMENTO SERVIZI SOCIETA'COOPERATIVA</v>
          </cell>
        </row>
        <row r="100">
          <cell r="A100" t="str">
            <v>1476521FORMAZIONE INSERIMENTO LAVORATIVO ORIENTAMENTO SERVIZI SOCIETA'COOPERATIVA</v>
          </cell>
        </row>
        <row r="101">
          <cell r="A101" t="str">
            <v>1476521CONSORZIO INTERCOMUNALE SERVIZI SOCIALI OSSOLA</v>
          </cell>
        </row>
        <row r="102">
          <cell r="A102" t="str">
            <v>1344345CENTRO DI RICERCA E DOCUMENTAZIONE LUIGI EINAUDI</v>
          </cell>
        </row>
        <row r="103">
          <cell r="A103" t="str">
            <v>1344345FORMAZIONE INSERIMENTO LAVORATIVO ORIENTAMENTO SERVIZI SOCIETA'COOPERATIVA</v>
          </cell>
        </row>
        <row r="104">
          <cell r="A104" t="str">
            <v>1344345CONSORZIO INTERCOMUNALE SERVIZI SOCIALI OSSOLA</v>
          </cell>
        </row>
        <row r="105">
          <cell r="A105" t="str">
            <v>1412051Fondazione Montagna sicura - Montagne sûre</v>
          </cell>
        </row>
        <row r="106">
          <cell r="A106" t="str">
            <v>1412051comune di Saint-Rhémy-en-Bosses</v>
          </cell>
        </row>
        <row r="107">
          <cell r="A107" t="str">
            <v>1232145comune di Saint-Rhémy-en-Bosses</v>
          </cell>
        </row>
        <row r="108">
          <cell r="A108" t="str">
            <v>1507212AZIENDA SOCIO SANITARIA TERRITORIALE DELLA VALTELLINA E DELL'ALTO LARIO</v>
          </cell>
        </row>
        <row r="109">
          <cell r="A109" t="str">
            <v>1453283Provincia di Novara</v>
          </cell>
        </row>
        <row r="110">
          <cell r="A110" t="str">
            <v>1282320DAYMED SRL</v>
          </cell>
        </row>
        <row r="111">
          <cell r="A111" t="str">
            <v>1493092Università degli Studi dell'Insubria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308E-9D05-4B55-8F9F-14090B905388}">
  <dimension ref="A1:V620"/>
  <sheetViews>
    <sheetView topLeftCell="E1" zoomScale="70" zoomScaleNormal="70" workbookViewId="0">
      <pane ySplit="2" topLeftCell="A399" activePane="bottomLeft" state="frozen"/>
      <selection pane="bottomLeft" activeCell="O531" sqref="O531:O611"/>
    </sheetView>
  </sheetViews>
  <sheetFormatPr defaultRowHeight="14.8" x14ac:dyDescent="0.3"/>
  <cols>
    <col min="1" max="1" width="16.44140625" style="3" bestFit="1" customWidth="1"/>
    <col min="2" max="2" width="15.6640625" style="3" bestFit="1" customWidth="1"/>
    <col min="3" max="3" width="18.77734375" style="3" bestFit="1" customWidth="1"/>
    <col min="4" max="4" width="34.88671875" style="3" customWidth="1"/>
    <col min="5" max="5" width="59.5546875" style="30" customWidth="1"/>
    <col min="6" max="6" width="19.33203125" style="31" hidden="1" customWidth="1"/>
    <col min="7" max="7" width="14" style="31" hidden="1" customWidth="1"/>
    <col min="8" max="8" width="14.21875" style="31" hidden="1" customWidth="1"/>
    <col min="9" max="9" width="17.5546875" style="31" hidden="1" customWidth="1"/>
    <col min="10" max="10" width="22.6640625" style="69" bestFit="1" customWidth="1"/>
    <col min="11" max="11" width="29.88671875" style="69" bestFit="1" customWidth="1"/>
    <col min="12" max="12" width="24.5546875" style="69" bestFit="1" customWidth="1"/>
    <col min="13" max="13" width="22.21875" style="69" customWidth="1"/>
    <col min="14" max="14" width="22" style="69" bestFit="1" customWidth="1"/>
    <col min="15" max="15" width="20.109375" style="69" bestFit="1" customWidth="1"/>
    <col min="16" max="16" width="25.44140625" style="32" bestFit="1" customWidth="1"/>
    <col min="17" max="17" width="33.21875" style="72" bestFit="1" customWidth="1"/>
    <col min="18" max="18" width="40.109375" style="72" bestFit="1" customWidth="1"/>
    <col min="19" max="19" width="12.6640625" style="3" bestFit="1" customWidth="1"/>
    <col min="20" max="20" width="11.21875" style="3" bestFit="1" customWidth="1"/>
    <col min="21" max="21" width="12.77734375" style="3" bestFit="1" customWidth="1"/>
    <col min="22" max="22" width="13.44140625" style="3" bestFit="1" customWidth="1"/>
    <col min="23" max="16384" width="8.88671875" style="3"/>
  </cols>
  <sheetData>
    <row r="1" spans="1:18" ht="56.95" customHeight="1" x14ac:dyDescent="0.3">
      <c r="A1" s="135" t="s">
        <v>716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76.8" customHeight="1" x14ac:dyDescent="0.3">
      <c r="A2" s="1" t="s">
        <v>683</v>
      </c>
      <c r="B2" s="1" t="s">
        <v>0</v>
      </c>
      <c r="C2" s="2" t="s">
        <v>684</v>
      </c>
      <c r="D2" s="1" t="s">
        <v>1</v>
      </c>
      <c r="E2" s="1" t="s">
        <v>685</v>
      </c>
      <c r="F2" s="1" t="s">
        <v>686</v>
      </c>
      <c r="G2" s="1" t="s">
        <v>687</v>
      </c>
      <c r="H2" s="1" t="s">
        <v>688</v>
      </c>
      <c r="I2" s="1" t="s">
        <v>689</v>
      </c>
      <c r="J2" s="51" t="s">
        <v>4</v>
      </c>
      <c r="K2" s="51" t="s">
        <v>3</v>
      </c>
      <c r="L2" s="51" t="s">
        <v>2</v>
      </c>
      <c r="M2" s="51" t="s">
        <v>690</v>
      </c>
      <c r="N2" s="51" t="s">
        <v>702</v>
      </c>
      <c r="O2" s="51" t="s">
        <v>701</v>
      </c>
      <c r="P2" s="33" t="s">
        <v>691</v>
      </c>
      <c r="Q2" s="70" t="s">
        <v>682</v>
      </c>
      <c r="R2" s="70" t="s">
        <v>681</v>
      </c>
    </row>
    <row r="3" spans="1:18" x14ac:dyDescent="0.3">
      <c r="A3" s="5" t="s">
        <v>7</v>
      </c>
      <c r="B3" s="5" t="s">
        <v>5</v>
      </c>
      <c r="C3" s="5">
        <v>494013</v>
      </c>
      <c r="D3" s="5" t="s">
        <v>6</v>
      </c>
      <c r="E3" s="6" t="s">
        <v>8</v>
      </c>
      <c r="F3" s="5" t="s">
        <v>692</v>
      </c>
      <c r="G3" s="5" t="s">
        <v>692</v>
      </c>
      <c r="H3" s="5" t="s">
        <v>692</v>
      </c>
      <c r="I3" s="5" t="s">
        <v>692</v>
      </c>
      <c r="J3" s="53">
        <v>419977.29</v>
      </c>
      <c r="K3" s="53">
        <v>62996.593500000003</v>
      </c>
      <c r="L3" s="53">
        <v>356980.69649999996</v>
      </c>
      <c r="M3" s="55">
        <v>356980.69649999996</v>
      </c>
      <c r="N3" s="55">
        <v>0</v>
      </c>
      <c r="O3" s="55">
        <v>0</v>
      </c>
      <c r="P3" s="4">
        <f t="shared" ref="P3:P66" si="0">L3/J3</f>
        <v>0.85</v>
      </c>
      <c r="Q3" s="71"/>
      <c r="R3" s="71"/>
    </row>
    <row r="4" spans="1:18" x14ac:dyDescent="0.3">
      <c r="A4" s="5" t="s">
        <v>7</v>
      </c>
      <c r="B4" s="5" t="s">
        <v>5</v>
      </c>
      <c r="C4" s="5">
        <v>469849</v>
      </c>
      <c r="D4" s="5" t="s">
        <v>9</v>
      </c>
      <c r="E4" s="6" t="s">
        <v>10</v>
      </c>
      <c r="F4" s="5" t="s">
        <v>692</v>
      </c>
      <c r="G4" s="5" t="s">
        <v>692</v>
      </c>
      <c r="H4" s="5" t="s">
        <v>692</v>
      </c>
      <c r="I4" s="5" t="s">
        <v>692</v>
      </c>
      <c r="J4" s="53">
        <v>138855.03</v>
      </c>
      <c r="K4" s="53">
        <v>0</v>
      </c>
      <c r="L4" s="53">
        <v>138855.03</v>
      </c>
      <c r="M4" s="54">
        <v>118026.77549999999</v>
      </c>
      <c r="N4" s="54">
        <v>20828.25450000001</v>
      </c>
      <c r="O4" s="55">
        <v>0</v>
      </c>
      <c r="P4" s="4">
        <f t="shared" si="0"/>
        <v>1</v>
      </c>
      <c r="Q4" s="71"/>
      <c r="R4" s="71"/>
    </row>
    <row r="5" spans="1:18" x14ac:dyDescent="0.3">
      <c r="A5" s="5" t="s">
        <v>7</v>
      </c>
      <c r="B5" s="5" t="s">
        <v>5</v>
      </c>
      <c r="C5" s="5">
        <v>469849</v>
      </c>
      <c r="D5" s="5" t="s">
        <v>9</v>
      </c>
      <c r="E5" s="6" t="s">
        <v>11</v>
      </c>
      <c r="F5" s="8" t="s">
        <v>692</v>
      </c>
      <c r="G5" s="8" t="s">
        <v>692</v>
      </c>
      <c r="H5" s="8" t="s">
        <v>692</v>
      </c>
      <c r="I5" s="8" t="s">
        <v>692</v>
      </c>
      <c r="J5" s="53">
        <v>49463.1</v>
      </c>
      <c r="K5" s="53">
        <v>0</v>
      </c>
      <c r="L5" s="53">
        <v>49463.1</v>
      </c>
      <c r="M5" s="54">
        <v>42043.634999999995</v>
      </c>
      <c r="N5" s="54">
        <v>7419.4650000000038</v>
      </c>
      <c r="O5" s="55">
        <v>0</v>
      </c>
      <c r="P5" s="4">
        <f t="shared" si="0"/>
        <v>1</v>
      </c>
      <c r="Q5" s="71"/>
      <c r="R5" s="71"/>
    </row>
    <row r="6" spans="1:18" x14ac:dyDescent="0.3">
      <c r="A6" s="5" t="s">
        <v>7</v>
      </c>
      <c r="B6" s="5" t="s">
        <v>5</v>
      </c>
      <c r="C6" s="5">
        <v>469849</v>
      </c>
      <c r="D6" s="5" t="s">
        <v>9</v>
      </c>
      <c r="E6" s="7" t="s">
        <v>12</v>
      </c>
      <c r="F6" s="5" t="s">
        <v>692</v>
      </c>
      <c r="G6" s="5" t="s">
        <v>692</v>
      </c>
      <c r="H6" s="5" t="s">
        <v>692</v>
      </c>
      <c r="I6" s="5" t="s">
        <v>692</v>
      </c>
      <c r="J6" s="53">
        <v>15812.74</v>
      </c>
      <c r="K6" s="53">
        <v>2371.91</v>
      </c>
      <c r="L6" s="53">
        <v>13440.83</v>
      </c>
      <c r="M6" s="54">
        <v>13440.83</v>
      </c>
      <c r="N6" s="55">
        <v>0</v>
      </c>
      <c r="O6" s="55">
        <v>0</v>
      </c>
      <c r="P6" s="4">
        <f t="shared" si="0"/>
        <v>0.85000006324014687</v>
      </c>
      <c r="Q6" s="71"/>
      <c r="R6" s="71"/>
    </row>
    <row r="7" spans="1:18" x14ac:dyDescent="0.3">
      <c r="A7" s="5" t="s">
        <v>7</v>
      </c>
      <c r="B7" s="5" t="s">
        <v>5</v>
      </c>
      <c r="C7" s="5">
        <v>492824</v>
      </c>
      <c r="D7" s="5" t="s">
        <v>693</v>
      </c>
      <c r="E7" s="6" t="s">
        <v>13</v>
      </c>
      <c r="F7" s="5" t="s">
        <v>692</v>
      </c>
      <c r="G7" s="5" t="s">
        <v>692</v>
      </c>
      <c r="H7" s="5" t="s">
        <v>692</v>
      </c>
      <c r="I7" s="5" t="s">
        <v>692</v>
      </c>
      <c r="J7" s="53">
        <v>225090</v>
      </c>
      <c r="K7" s="53">
        <v>0</v>
      </c>
      <c r="L7" s="53">
        <v>225090</v>
      </c>
      <c r="M7" s="54">
        <v>191326.5</v>
      </c>
      <c r="N7" s="54">
        <v>33763.5</v>
      </c>
      <c r="O7" s="55">
        <v>0</v>
      </c>
      <c r="P7" s="4">
        <f t="shared" si="0"/>
        <v>1</v>
      </c>
      <c r="Q7" s="71"/>
      <c r="R7" s="71"/>
    </row>
    <row r="8" spans="1:18" x14ac:dyDescent="0.3">
      <c r="A8" s="5" t="s">
        <v>7</v>
      </c>
      <c r="B8" s="5" t="s">
        <v>5</v>
      </c>
      <c r="C8" s="5">
        <v>492824</v>
      </c>
      <c r="D8" s="5" t="s">
        <v>693</v>
      </c>
      <c r="E8" s="34" t="s">
        <v>14</v>
      </c>
      <c r="F8" s="5" t="s">
        <v>692</v>
      </c>
      <c r="G8" s="5" t="s">
        <v>692</v>
      </c>
      <c r="H8" s="5" t="s">
        <v>692</v>
      </c>
      <c r="I8" s="5" t="s">
        <v>692</v>
      </c>
      <c r="J8" s="53">
        <v>224450.3</v>
      </c>
      <c r="K8" s="53">
        <v>33667.549999999988</v>
      </c>
      <c r="L8" s="53">
        <v>190782.75</v>
      </c>
      <c r="M8" s="54">
        <v>190782.75</v>
      </c>
      <c r="N8" s="55">
        <v>0</v>
      </c>
      <c r="O8" s="52">
        <v>0</v>
      </c>
      <c r="P8" s="4">
        <f t="shared" si="0"/>
        <v>0.84999997772335345</v>
      </c>
      <c r="Q8" s="71"/>
      <c r="R8" s="71"/>
    </row>
    <row r="9" spans="1:18" x14ac:dyDescent="0.3">
      <c r="A9" s="5" t="s">
        <v>7</v>
      </c>
      <c r="B9" s="5" t="s">
        <v>5</v>
      </c>
      <c r="C9" s="5">
        <v>492824</v>
      </c>
      <c r="D9" s="5" t="s">
        <v>693</v>
      </c>
      <c r="E9" s="34" t="s">
        <v>15</v>
      </c>
      <c r="F9" s="5" t="s">
        <v>692</v>
      </c>
      <c r="G9" s="5" t="s">
        <v>692</v>
      </c>
      <c r="H9" s="5" t="s">
        <v>692</v>
      </c>
      <c r="I9" s="5" t="s">
        <v>692</v>
      </c>
      <c r="J9" s="53">
        <v>101789.9</v>
      </c>
      <c r="K9" s="53">
        <v>15268.529999999999</v>
      </c>
      <c r="L9" s="53">
        <v>86521.37</v>
      </c>
      <c r="M9" s="54">
        <v>86521.37</v>
      </c>
      <c r="N9" s="55">
        <v>0</v>
      </c>
      <c r="O9" s="52">
        <v>0</v>
      </c>
      <c r="P9" s="4">
        <f t="shared" si="0"/>
        <v>0.8499995579129167</v>
      </c>
      <c r="Q9" s="71"/>
      <c r="R9" s="71"/>
    </row>
    <row r="10" spans="1:18" ht="29.55" x14ac:dyDescent="0.3">
      <c r="A10" s="5" t="s">
        <v>7</v>
      </c>
      <c r="B10" s="5" t="s">
        <v>5</v>
      </c>
      <c r="C10" s="5">
        <v>541315</v>
      </c>
      <c r="D10" s="5" t="s">
        <v>16</v>
      </c>
      <c r="E10" s="34" t="s">
        <v>17</v>
      </c>
      <c r="F10" s="5" t="s">
        <v>692</v>
      </c>
      <c r="G10" s="5" t="s">
        <v>692</v>
      </c>
      <c r="H10" s="5" t="s">
        <v>692</v>
      </c>
      <c r="I10" s="5" t="s">
        <v>692</v>
      </c>
      <c r="J10" s="53">
        <v>275632.24</v>
      </c>
      <c r="K10" s="53">
        <v>0</v>
      </c>
      <c r="L10" s="53">
        <v>275632.24</v>
      </c>
      <c r="M10" s="54">
        <v>234287.40399999998</v>
      </c>
      <c r="N10" s="54">
        <v>41344.83600000001</v>
      </c>
      <c r="O10" s="52">
        <v>0</v>
      </c>
      <c r="P10" s="4">
        <f t="shared" si="0"/>
        <v>1</v>
      </c>
      <c r="Q10" s="71"/>
      <c r="R10" s="71"/>
    </row>
    <row r="11" spans="1:18" x14ac:dyDescent="0.3">
      <c r="A11" s="5" t="s">
        <v>7</v>
      </c>
      <c r="B11" s="5" t="s">
        <v>5</v>
      </c>
      <c r="C11" s="5">
        <v>541315</v>
      </c>
      <c r="D11" s="5" t="s">
        <v>16</v>
      </c>
      <c r="E11" s="34" t="s">
        <v>18</v>
      </c>
      <c r="F11" s="5" t="s">
        <v>692</v>
      </c>
      <c r="G11" s="5" t="s">
        <v>692</v>
      </c>
      <c r="H11" s="5" t="s">
        <v>692</v>
      </c>
      <c r="I11" s="5" t="s">
        <v>692</v>
      </c>
      <c r="J11" s="53">
        <v>66912</v>
      </c>
      <c r="K11" s="53">
        <v>0</v>
      </c>
      <c r="L11" s="56">
        <v>66912</v>
      </c>
      <c r="M11" s="54">
        <v>56875.199999999997</v>
      </c>
      <c r="N11" s="54">
        <v>10036.800000000003</v>
      </c>
      <c r="O11" s="52">
        <v>0</v>
      </c>
      <c r="P11" s="4">
        <f t="shared" si="0"/>
        <v>1</v>
      </c>
      <c r="Q11" s="71"/>
      <c r="R11" s="71"/>
    </row>
    <row r="12" spans="1:18" x14ac:dyDescent="0.3">
      <c r="A12" s="5" t="s">
        <v>7</v>
      </c>
      <c r="B12" s="5" t="s">
        <v>5</v>
      </c>
      <c r="C12" s="5">
        <v>541315</v>
      </c>
      <c r="D12" s="5" t="s">
        <v>16</v>
      </c>
      <c r="E12" s="34" t="s">
        <v>19</v>
      </c>
      <c r="F12" s="5" t="s">
        <v>692</v>
      </c>
      <c r="G12" s="5" t="s">
        <v>692</v>
      </c>
      <c r="H12" s="5" t="s">
        <v>692</v>
      </c>
      <c r="I12" s="5" t="s">
        <v>692</v>
      </c>
      <c r="J12" s="53">
        <v>88313.98</v>
      </c>
      <c r="K12" s="53">
        <v>0</v>
      </c>
      <c r="L12" s="53">
        <v>88313.98</v>
      </c>
      <c r="M12" s="54">
        <v>75066.883000000002</v>
      </c>
      <c r="N12" s="54">
        <v>13247.096999999994</v>
      </c>
      <c r="O12" s="52">
        <v>0</v>
      </c>
      <c r="P12" s="4">
        <f t="shared" si="0"/>
        <v>1</v>
      </c>
      <c r="Q12" s="71"/>
      <c r="R12" s="71"/>
    </row>
    <row r="13" spans="1:18" x14ac:dyDescent="0.3">
      <c r="A13" s="5" t="s">
        <v>7</v>
      </c>
      <c r="B13" s="5" t="s">
        <v>5</v>
      </c>
      <c r="C13" s="5">
        <v>541315</v>
      </c>
      <c r="D13" s="5" t="s">
        <v>16</v>
      </c>
      <c r="E13" s="34" t="s">
        <v>20</v>
      </c>
      <c r="F13" s="5" t="s">
        <v>692</v>
      </c>
      <c r="G13" s="5" t="s">
        <v>692</v>
      </c>
      <c r="H13" s="5" t="s">
        <v>692</v>
      </c>
      <c r="I13" s="5" t="s">
        <v>692</v>
      </c>
      <c r="J13" s="53">
        <v>117069.63</v>
      </c>
      <c r="K13" s="53">
        <v>17560.429999999993</v>
      </c>
      <c r="L13" s="53">
        <v>99509.200000000012</v>
      </c>
      <c r="M13" s="54">
        <v>99509.200000000012</v>
      </c>
      <c r="N13" s="55">
        <v>0</v>
      </c>
      <c r="O13" s="52">
        <v>0</v>
      </c>
      <c r="P13" s="4">
        <f t="shared" si="0"/>
        <v>0.85000012385791268</v>
      </c>
      <c r="Q13" s="71"/>
      <c r="R13" s="71"/>
    </row>
    <row r="14" spans="1:18" x14ac:dyDescent="0.3">
      <c r="A14" s="5" t="s">
        <v>7</v>
      </c>
      <c r="B14" s="5" t="s">
        <v>5</v>
      </c>
      <c r="C14" s="5">
        <v>493717</v>
      </c>
      <c r="D14" s="5" t="s">
        <v>21</v>
      </c>
      <c r="E14" s="34" t="s">
        <v>22</v>
      </c>
      <c r="F14" s="9" t="s">
        <v>692</v>
      </c>
      <c r="G14" s="9" t="s">
        <v>692</v>
      </c>
      <c r="H14" s="9" t="s">
        <v>692</v>
      </c>
      <c r="I14" s="9" t="s">
        <v>692</v>
      </c>
      <c r="J14" s="53">
        <v>757468.87</v>
      </c>
      <c r="K14" s="53">
        <v>0</v>
      </c>
      <c r="L14" s="53">
        <v>757468.87</v>
      </c>
      <c r="M14" s="54">
        <v>643848.53949999996</v>
      </c>
      <c r="N14" s="54">
        <v>113620.33050000004</v>
      </c>
      <c r="O14" s="52">
        <v>0</v>
      </c>
      <c r="P14" s="4">
        <f t="shared" si="0"/>
        <v>1</v>
      </c>
      <c r="Q14" s="71"/>
      <c r="R14" s="71"/>
    </row>
    <row r="15" spans="1:18" x14ac:dyDescent="0.3">
      <c r="A15" s="5" t="s">
        <v>7</v>
      </c>
      <c r="B15" s="5" t="s">
        <v>5</v>
      </c>
      <c r="C15" s="5">
        <v>493717</v>
      </c>
      <c r="D15" s="5" t="s">
        <v>21</v>
      </c>
      <c r="E15" s="36" t="s">
        <v>23</v>
      </c>
      <c r="F15" s="5" t="s">
        <v>692</v>
      </c>
      <c r="G15" s="5" t="s">
        <v>692</v>
      </c>
      <c r="H15" s="5" t="s">
        <v>692</v>
      </c>
      <c r="I15" s="5" t="s">
        <v>692</v>
      </c>
      <c r="J15" s="53">
        <v>444793</v>
      </c>
      <c r="K15" s="53">
        <v>96245.84</v>
      </c>
      <c r="L15" s="53">
        <v>348547.16</v>
      </c>
      <c r="M15" s="54">
        <v>348547.16</v>
      </c>
      <c r="N15" s="55">
        <v>0</v>
      </c>
      <c r="O15" s="52">
        <v>0</v>
      </c>
      <c r="P15" s="4">
        <f t="shared" si="0"/>
        <v>0.78361655871382863</v>
      </c>
      <c r="Q15" s="71"/>
      <c r="R15" s="71"/>
    </row>
    <row r="16" spans="1:18" x14ac:dyDescent="0.3">
      <c r="A16" s="5" t="s">
        <v>7</v>
      </c>
      <c r="B16" s="5" t="s">
        <v>5</v>
      </c>
      <c r="C16" s="5">
        <v>493717</v>
      </c>
      <c r="D16" s="5" t="s">
        <v>21</v>
      </c>
      <c r="E16" s="34" t="s">
        <v>24</v>
      </c>
      <c r="F16" s="48" t="s">
        <v>692</v>
      </c>
      <c r="G16" s="48" t="s">
        <v>692</v>
      </c>
      <c r="H16" s="48" t="s">
        <v>692</v>
      </c>
      <c r="I16" s="48" t="s">
        <v>692</v>
      </c>
      <c r="J16" s="53">
        <v>94599.05</v>
      </c>
      <c r="K16" s="53">
        <v>0</v>
      </c>
      <c r="L16" s="53">
        <v>94599.05</v>
      </c>
      <c r="M16" s="54">
        <v>80409.192500000005</v>
      </c>
      <c r="N16" s="54">
        <v>14189.857499999998</v>
      </c>
      <c r="O16" s="52">
        <v>0</v>
      </c>
      <c r="P16" s="4">
        <f t="shared" si="0"/>
        <v>1</v>
      </c>
      <c r="Q16" s="71"/>
      <c r="R16" s="71"/>
    </row>
    <row r="17" spans="1:18" x14ac:dyDescent="0.3">
      <c r="A17" s="5" t="s">
        <v>7</v>
      </c>
      <c r="B17" s="5" t="s">
        <v>5</v>
      </c>
      <c r="C17" s="5">
        <v>493717</v>
      </c>
      <c r="D17" s="5" t="s">
        <v>21</v>
      </c>
      <c r="E17" s="37" t="s">
        <v>25</v>
      </c>
      <c r="F17" s="9" t="s">
        <v>692</v>
      </c>
      <c r="G17" s="9" t="s">
        <v>692</v>
      </c>
      <c r="H17" s="9" t="s">
        <v>692</v>
      </c>
      <c r="I17" s="9" t="s">
        <v>692</v>
      </c>
      <c r="J17" s="53">
        <v>236697.82500000001</v>
      </c>
      <c r="K17" s="53">
        <v>0</v>
      </c>
      <c r="L17" s="53">
        <v>236697.82500000001</v>
      </c>
      <c r="M17" s="54">
        <v>201193.15125</v>
      </c>
      <c r="N17" s="54">
        <v>35504.673750000016</v>
      </c>
      <c r="O17" s="52">
        <v>0</v>
      </c>
      <c r="P17" s="4">
        <f t="shared" si="0"/>
        <v>1</v>
      </c>
      <c r="Q17" s="71"/>
      <c r="R17" s="71"/>
    </row>
    <row r="18" spans="1:18" x14ac:dyDescent="0.3">
      <c r="A18" s="5" t="s">
        <v>7</v>
      </c>
      <c r="B18" s="5" t="s">
        <v>5</v>
      </c>
      <c r="C18" s="5">
        <v>480739</v>
      </c>
      <c r="D18" s="5" t="s">
        <v>26</v>
      </c>
      <c r="E18" s="36" t="s">
        <v>27</v>
      </c>
      <c r="F18" s="9" t="s">
        <v>692</v>
      </c>
      <c r="G18" s="9" t="s">
        <v>692</v>
      </c>
      <c r="H18" s="9" t="s">
        <v>692</v>
      </c>
      <c r="I18" s="9" t="s">
        <v>692</v>
      </c>
      <c r="J18" s="53">
        <v>628484.31224999996</v>
      </c>
      <c r="K18" s="53">
        <v>0</v>
      </c>
      <c r="L18" s="53">
        <v>628484.31224999996</v>
      </c>
      <c r="M18" s="54">
        <v>534211.66541249992</v>
      </c>
      <c r="N18" s="54">
        <v>94272.64683750004</v>
      </c>
      <c r="O18" s="52">
        <v>0</v>
      </c>
      <c r="P18" s="4">
        <f t="shared" si="0"/>
        <v>1</v>
      </c>
      <c r="Q18" s="71"/>
      <c r="R18" s="71"/>
    </row>
    <row r="19" spans="1:18" x14ac:dyDescent="0.3">
      <c r="A19" s="5" t="s">
        <v>7</v>
      </c>
      <c r="B19" s="5" t="s">
        <v>5</v>
      </c>
      <c r="C19" s="5">
        <v>480739</v>
      </c>
      <c r="D19" s="5" t="s">
        <v>26</v>
      </c>
      <c r="E19" s="36" t="s">
        <v>28</v>
      </c>
      <c r="F19" s="9" t="s">
        <v>692</v>
      </c>
      <c r="G19" s="9" t="s">
        <v>692</v>
      </c>
      <c r="H19" s="9" t="s">
        <v>692</v>
      </c>
      <c r="I19" s="9" t="s">
        <v>692</v>
      </c>
      <c r="J19" s="53">
        <v>340181.1</v>
      </c>
      <c r="K19" s="53">
        <v>0</v>
      </c>
      <c r="L19" s="53">
        <v>340181.1</v>
      </c>
      <c r="M19" s="54">
        <v>289153.935</v>
      </c>
      <c r="N19" s="54">
        <v>51027.164999999979</v>
      </c>
      <c r="O19" s="52">
        <v>0</v>
      </c>
      <c r="P19" s="4">
        <f t="shared" si="0"/>
        <v>1</v>
      </c>
      <c r="Q19" s="71"/>
      <c r="R19" s="71"/>
    </row>
    <row r="20" spans="1:18" x14ac:dyDescent="0.3">
      <c r="A20" s="5" t="s">
        <v>7</v>
      </c>
      <c r="B20" s="5" t="s">
        <v>5</v>
      </c>
      <c r="C20" s="5">
        <v>480739</v>
      </c>
      <c r="D20" s="5" t="s">
        <v>26</v>
      </c>
      <c r="E20" s="36" t="s">
        <v>29</v>
      </c>
      <c r="F20" s="9" t="s">
        <v>692</v>
      </c>
      <c r="G20" s="9" t="s">
        <v>692</v>
      </c>
      <c r="H20" s="9" t="s">
        <v>692</v>
      </c>
      <c r="I20" s="9" t="s">
        <v>692</v>
      </c>
      <c r="J20" s="53">
        <v>152520</v>
      </c>
      <c r="K20" s="53">
        <v>33003.040200000003</v>
      </c>
      <c r="L20" s="53">
        <v>119516.9598</v>
      </c>
      <c r="M20" s="54">
        <v>119516.9598</v>
      </c>
      <c r="N20" s="55">
        <v>0</v>
      </c>
      <c r="O20" s="52">
        <v>0</v>
      </c>
      <c r="P20" s="4">
        <f t="shared" si="0"/>
        <v>0.78361499999999995</v>
      </c>
      <c r="Q20" s="71"/>
      <c r="R20" s="71"/>
    </row>
    <row r="21" spans="1:18" x14ac:dyDescent="0.3">
      <c r="A21" s="5" t="s">
        <v>7</v>
      </c>
      <c r="B21" s="5" t="s">
        <v>5</v>
      </c>
      <c r="C21" s="5">
        <v>480739</v>
      </c>
      <c r="D21" s="5" t="s">
        <v>26</v>
      </c>
      <c r="E21" s="36" t="s">
        <v>30</v>
      </c>
      <c r="F21" s="9" t="s">
        <v>692</v>
      </c>
      <c r="G21" s="9">
        <v>3286</v>
      </c>
      <c r="H21" s="9">
        <v>581750</v>
      </c>
      <c r="I21" s="9" t="s">
        <v>692</v>
      </c>
      <c r="J21" s="53">
        <v>59655</v>
      </c>
      <c r="K21" s="53">
        <v>12908.447175000001</v>
      </c>
      <c r="L21" s="53">
        <v>46746.552824999999</v>
      </c>
      <c r="M21" s="54">
        <v>46746.552824999999</v>
      </c>
      <c r="N21" s="55">
        <v>0</v>
      </c>
      <c r="O21" s="52">
        <v>0</v>
      </c>
      <c r="P21" s="4">
        <f t="shared" si="0"/>
        <v>0.78361499999999995</v>
      </c>
      <c r="Q21" s="71"/>
      <c r="R21" s="71"/>
    </row>
    <row r="22" spans="1:18" x14ac:dyDescent="0.3">
      <c r="A22" s="5" t="s">
        <v>7</v>
      </c>
      <c r="B22" s="5" t="s">
        <v>5</v>
      </c>
      <c r="C22" s="5">
        <v>480739</v>
      </c>
      <c r="D22" s="5" t="s">
        <v>26</v>
      </c>
      <c r="E22" s="36" t="s">
        <v>31</v>
      </c>
      <c r="F22" s="9" t="s">
        <v>692</v>
      </c>
      <c r="G22" s="9" t="s">
        <v>692</v>
      </c>
      <c r="H22" s="9" t="s">
        <v>692</v>
      </c>
      <c r="I22" s="9" t="s">
        <v>692</v>
      </c>
      <c r="J22" s="53">
        <v>335078.3835</v>
      </c>
      <c r="K22" s="53">
        <v>0</v>
      </c>
      <c r="L22" s="53">
        <v>335078.3835</v>
      </c>
      <c r="M22" s="54">
        <v>284816.62597499997</v>
      </c>
      <c r="N22" s="54">
        <v>50261.757525000023</v>
      </c>
      <c r="O22" s="52">
        <v>0</v>
      </c>
      <c r="P22" s="4">
        <f t="shared" si="0"/>
        <v>1</v>
      </c>
      <c r="Q22" s="71"/>
      <c r="R22" s="71"/>
    </row>
    <row r="23" spans="1:18" x14ac:dyDescent="0.3">
      <c r="A23" s="5" t="s">
        <v>7</v>
      </c>
      <c r="B23" s="5" t="s">
        <v>5</v>
      </c>
      <c r="C23" s="5">
        <v>480739</v>
      </c>
      <c r="D23" s="5" t="s">
        <v>26</v>
      </c>
      <c r="E23" s="36" t="s">
        <v>32</v>
      </c>
      <c r="F23" s="5" t="s">
        <v>692</v>
      </c>
      <c r="G23" s="5">
        <v>3286</v>
      </c>
      <c r="H23" s="5">
        <v>581751</v>
      </c>
      <c r="I23" s="5" t="s">
        <v>692</v>
      </c>
      <c r="J23" s="53">
        <v>61008</v>
      </c>
      <c r="K23" s="53">
        <v>13201.216079999998</v>
      </c>
      <c r="L23" s="53">
        <v>47806.783920000002</v>
      </c>
      <c r="M23" s="54">
        <v>47806.783920000002</v>
      </c>
      <c r="N23" s="55">
        <v>0</v>
      </c>
      <c r="O23" s="52">
        <v>0</v>
      </c>
      <c r="P23" s="4">
        <f t="shared" si="0"/>
        <v>0.78361500000000006</v>
      </c>
      <c r="Q23" s="71"/>
      <c r="R23" s="71"/>
    </row>
    <row r="24" spans="1:18" x14ac:dyDescent="0.3">
      <c r="A24" s="5" t="s">
        <v>7</v>
      </c>
      <c r="B24" s="5" t="s">
        <v>5</v>
      </c>
      <c r="C24" s="5">
        <v>471690</v>
      </c>
      <c r="D24" s="5" t="s">
        <v>33</v>
      </c>
      <c r="E24" s="34" t="s">
        <v>34</v>
      </c>
      <c r="F24" s="5" t="s">
        <v>692</v>
      </c>
      <c r="G24" s="5" t="s">
        <v>692</v>
      </c>
      <c r="H24" s="5" t="s">
        <v>692</v>
      </c>
      <c r="I24" s="5" t="s">
        <v>692</v>
      </c>
      <c r="J24" s="53">
        <v>435211.85</v>
      </c>
      <c r="K24" s="53">
        <v>96268.828213645029</v>
      </c>
      <c r="L24" s="53">
        <v>338943.02178635495</v>
      </c>
      <c r="M24" s="54">
        <v>338943.02178635495</v>
      </c>
      <c r="N24" s="55">
        <v>0</v>
      </c>
      <c r="O24" s="52">
        <v>0</v>
      </c>
      <c r="P24" s="4">
        <f t="shared" si="0"/>
        <v>0.77880007583974331</v>
      </c>
      <c r="Q24" s="71"/>
      <c r="R24" s="71"/>
    </row>
    <row r="25" spans="1:18" ht="29.55" x14ac:dyDescent="0.3">
      <c r="A25" s="5" t="s">
        <v>7</v>
      </c>
      <c r="B25" s="5" t="s">
        <v>5</v>
      </c>
      <c r="C25" s="5">
        <v>471690</v>
      </c>
      <c r="D25" s="5" t="s">
        <v>33</v>
      </c>
      <c r="E25" s="34" t="s">
        <v>35</v>
      </c>
      <c r="F25" s="5" t="s">
        <v>692</v>
      </c>
      <c r="G25" s="5">
        <v>3286</v>
      </c>
      <c r="H25" s="5" t="s">
        <v>694</v>
      </c>
      <c r="I25" s="5">
        <v>231996</v>
      </c>
      <c r="J25" s="53">
        <v>200000</v>
      </c>
      <c r="K25" s="53">
        <v>100000</v>
      </c>
      <c r="L25" s="53">
        <v>100000</v>
      </c>
      <c r="M25" s="54">
        <v>100000</v>
      </c>
      <c r="N25" s="55">
        <v>0</v>
      </c>
      <c r="O25" s="52">
        <v>0</v>
      </c>
      <c r="P25" s="4">
        <f t="shared" si="0"/>
        <v>0.5</v>
      </c>
      <c r="Q25" s="71"/>
      <c r="R25" s="71"/>
    </row>
    <row r="26" spans="1:18" x14ac:dyDescent="0.3">
      <c r="A26" s="5" t="s">
        <v>7</v>
      </c>
      <c r="B26" s="5" t="s">
        <v>5</v>
      </c>
      <c r="C26" s="5">
        <v>471690</v>
      </c>
      <c r="D26" s="5" t="s">
        <v>33</v>
      </c>
      <c r="E26" s="34" t="s">
        <v>36</v>
      </c>
      <c r="F26" s="5" t="s">
        <v>692</v>
      </c>
      <c r="G26" s="5" t="s">
        <v>692</v>
      </c>
      <c r="H26" s="5" t="s">
        <v>692</v>
      </c>
      <c r="I26" s="5" t="s">
        <v>692</v>
      </c>
      <c r="J26" s="53">
        <v>334230.09935202991</v>
      </c>
      <c r="K26" s="53">
        <v>0</v>
      </c>
      <c r="L26" s="53">
        <v>334230.09935202991</v>
      </c>
      <c r="M26" s="54">
        <v>284095.5844492254</v>
      </c>
      <c r="N26" s="54">
        <v>50134.514902804513</v>
      </c>
      <c r="O26" s="52">
        <v>0</v>
      </c>
      <c r="P26" s="4">
        <f t="shared" si="0"/>
        <v>1</v>
      </c>
      <c r="Q26" s="71"/>
      <c r="R26" s="71"/>
    </row>
    <row r="27" spans="1:18" ht="44.35" x14ac:dyDescent="0.3">
      <c r="A27" s="5" t="s">
        <v>7</v>
      </c>
      <c r="B27" s="5" t="s">
        <v>5</v>
      </c>
      <c r="C27" s="5">
        <v>603882</v>
      </c>
      <c r="D27" s="5" t="s">
        <v>37</v>
      </c>
      <c r="E27" s="34" t="s">
        <v>38</v>
      </c>
      <c r="F27" s="48" t="s">
        <v>692</v>
      </c>
      <c r="G27" s="48" t="s">
        <v>692</v>
      </c>
      <c r="H27" s="48" t="s">
        <v>692</v>
      </c>
      <c r="I27" s="48" t="s">
        <v>692</v>
      </c>
      <c r="J27" s="53">
        <v>545662.29120080301</v>
      </c>
      <c r="K27" s="56">
        <v>0</v>
      </c>
      <c r="L27" s="56">
        <v>545662.29120080301</v>
      </c>
      <c r="M27" s="54">
        <v>463812.94752068253</v>
      </c>
      <c r="N27" s="54">
        <v>81849.343680120481</v>
      </c>
      <c r="O27" s="52">
        <v>0</v>
      </c>
      <c r="P27" s="4">
        <f t="shared" si="0"/>
        <v>1</v>
      </c>
      <c r="Q27" s="71"/>
      <c r="R27" s="71"/>
    </row>
    <row r="28" spans="1:18" ht="44.35" x14ac:dyDescent="0.3">
      <c r="A28" s="5" t="s">
        <v>7</v>
      </c>
      <c r="B28" s="5" t="s">
        <v>5</v>
      </c>
      <c r="C28" s="5">
        <v>603882</v>
      </c>
      <c r="D28" s="5" t="s">
        <v>37</v>
      </c>
      <c r="E28" s="37" t="s">
        <v>39</v>
      </c>
      <c r="F28" s="48" t="s">
        <v>692</v>
      </c>
      <c r="G28" s="48" t="s">
        <v>692</v>
      </c>
      <c r="H28" s="48" t="s">
        <v>692</v>
      </c>
      <c r="I28" s="48" t="s">
        <v>692</v>
      </c>
      <c r="J28" s="53">
        <v>91663.010000000009</v>
      </c>
      <c r="K28" s="56">
        <v>0</v>
      </c>
      <c r="L28" s="56">
        <v>91663.010000000009</v>
      </c>
      <c r="M28" s="54">
        <v>77913.558499999999</v>
      </c>
      <c r="N28" s="54">
        <v>13749.45150000001</v>
      </c>
      <c r="O28" s="52">
        <v>0</v>
      </c>
      <c r="P28" s="4">
        <f t="shared" si="0"/>
        <v>1</v>
      </c>
      <c r="Q28" s="71"/>
      <c r="R28" s="71"/>
    </row>
    <row r="29" spans="1:18" ht="29.55" x14ac:dyDescent="0.3">
      <c r="A29" s="5" t="s">
        <v>7</v>
      </c>
      <c r="B29" s="5" t="s">
        <v>5</v>
      </c>
      <c r="C29" s="5">
        <v>475989</v>
      </c>
      <c r="D29" s="5" t="s">
        <v>40</v>
      </c>
      <c r="E29" s="37" t="s">
        <v>41</v>
      </c>
      <c r="F29" s="48" t="s">
        <v>692</v>
      </c>
      <c r="G29" s="48" t="s">
        <v>692</v>
      </c>
      <c r="H29" s="48" t="s">
        <v>692</v>
      </c>
      <c r="I29" s="48" t="s">
        <v>692</v>
      </c>
      <c r="J29" s="53">
        <v>986621.25061112898</v>
      </c>
      <c r="K29" s="56">
        <v>0</v>
      </c>
      <c r="L29" s="56">
        <v>986621.25061112898</v>
      </c>
      <c r="M29" s="54">
        <v>838628.0630194596</v>
      </c>
      <c r="N29" s="54">
        <v>147993.18759166938</v>
      </c>
      <c r="O29" s="52">
        <v>0</v>
      </c>
      <c r="P29" s="4">
        <f t="shared" si="0"/>
        <v>1</v>
      </c>
      <c r="Q29" s="71"/>
      <c r="R29" s="71"/>
    </row>
    <row r="30" spans="1:18" ht="29.55" x14ac:dyDescent="0.3">
      <c r="A30" s="5" t="s">
        <v>7</v>
      </c>
      <c r="B30" s="5" t="s">
        <v>5</v>
      </c>
      <c r="C30" s="5">
        <v>475989</v>
      </c>
      <c r="D30" s="5" t="s">
        <v>40</v>
      </c>
      <c r="E30" s="37" t="s">
        <v>42</v>
      </c>
      <c r="F30" s="5" t="s">
        <v>692</v>
      </c>
      <c r="G30" s="5">
        <v>3286</v>
      </c>
      <c r="H30" s="5">
        <v>581753</v>
      </c>
      <c r="I30" s="5">
        <v>110771</v>
      </c>
      <c r="J30" s="53">
        <v>117524.89037531</v>
      </c>
      <c r="K30" s="56">
        <v>0</v>
      </c>
      <c r="L30" s="56">
        <v>117524.89037531</v>
      </c>
      <c r="M30" s="54">
        <v>99896.1568190135</v>
      </c>
      <c r="N30" s="54">
        <v>17628.733556296502</v>
      </c>
      <c r="O30" s="52">
        <v>0</v>
      </c>
      <c r="P30" s="4">
        <f t="shared" si="0"/>
        <v>1</v>
      </c>
      <c r="Q30" s="71"/>
      <c r="R30" s="71"/>
    </row>
    <row r="31" spans="1:18" ht="29.55" x14ac:dyDescent="0.3">
      <c r="A31" s="5" t="s">
        <v>7</v>
      </c>
      <c r="B31" s="5" t="s">
        <v>5</v>
      </c>
      <c r="C31" s="5">
        <v>622330</v>
      </c>
      <c r="D31" s="5" t="s">
        <v>43</v>
      </c>
      <c r="E31" s="34" t="s">
        <v>44</v>
      </c>
      <c r="F31" s="5" t="s">
        <v>692</v>
      </c>
      <c r="G31" s="5">
        <v>3286</v>
      </c>
      <c r="H31" s="5">
        <v>581754</v>
      </c>
      <c r="I31" s="5">
        <v>773819</v>
      </c>
      <c r="J31" s="53">
        <v>215648.88999999998</v>
      </c>
      <c r="K31" s="56">
        <v>47743.659999999974</v>
      </c>
      <c r="L31" s="56">
        <v>167905.23</v>
      </c>
      <c r="M31" s="54">
        <v>167905.23</v>
      </c>
      <c r="N31" s="55">
        <v>0</v>
      </c>
      <c r="O31" s="52">
        <v>0</v>
      </c>
      <c r="P31" s="4">
        <f t="shared" si="0"/>
        <v>0.77860465685680103</v>
      </c>
      <c r="Q31" s="71"/>
      <c r="R31" s="71"/>
    </row>
    <row r="32" spans="1:18" x14ac:dyDescent="0.3">
      <c r="A32" s="5" t="s">
        <v>7</v>
      </c>
      <c r="B32" s="5" t="s">
        <v>5</v>
      </c>
      <c r="C32" s="5">
        <v>622330</v>
      </c>
      <c r="D32" s="5" t="s">
        <v>43</v>
      </c>
      <c r="E32" s="34" t="s">
        <v>45</v>
      </c>
      <c r="F32" s="5" t="s">
        <v>692</v>
      </c>
      <c r="G32" s="5">
        <v>3286</v>
      </c>
      <c r="H32" s="5">
        <v>581755</v>
      </c>
      <c r="I32" s="5">
        <v>773820</v>
      </c>
      <c r="J32" s="53">
        <v>117295.26</v>
      </c>
      <c r="K32" s="56">
        <v>25945.699999999997</v>
      </c>
      <c r="L32" s="56">
        <v>91349.56</v>
      </c>
      <c r="M32" s="54">
        <v>91349.56</v>
      </c>
      <c r="N32" s="55">
        <v>0</v>
      </c>
      <c r="O32" s="52">
        <v>0</v>
      </c>
      <c r="P32" s="4">
        <f t="shared" si="0"/>
        <v>0.77880009814548345</v>
      </c>
      <c r="Q32" s="71"/>
      <c r="R32" s="71"/>
    </row>
    <row r="33" spans="1:18" x14ac:dyDescent="0.3">
      <c r="A33" s="5" t="s">
        <v>7</v>
      </c>
      <c r="B33" s="5" t="s">
        <v>5</v>
      </c>
      <c r="C33" s="5">
        <v>622330</v>
      </c>
      <c r="D33" s="5" t="s">
        <v>43</v>
      </c>
      <c r="E33" s="34" t="s">
        <v>46</v>
      </c>
      <c r="F33" s="5" t="s">
        <v>692</v>
      </c>
      <c r="G33" s="5">
        <v>3286</v>
      </c>
      <c r="H33" s="5">
        <v>581756</v>
      </c>
      <c r="I33" s="5">
        <v>773824</v>
      </c>
      <c r="J33" s="53">
        <v>210822</v>
      </c>
      <c r="K33" s="56">
        <v>46633.589999999967</v>
      </c>
      <c r="L33" s="56">
        <v>164188.41000000003</v>
      </c>
      <c r="M33" s="54">
        <v>164188.41000000003</v>
      </c>
      <c r="N33" s="55">
        <v>0</v>
      </c>
      <c r="O33" s="52">
        <v>0</v>
      </c>
      <c r="P33" s="4">
        <f t="shared" si="0"/>
        <v>0.77880112132509904</v>
      </c>
      <c r="Q33" s="71"/>
      <c r="R33" s="71"/>
    </row>
    <row r="34" spans="1:18" x14ac:dyDescent="0.3">
      <c r="A34" s="5" t="s">
        <v>7</v>
      </c>
      <c r="B34" s="5" t="s">
        <v>5</v>
      </c>
      <c r="C34" s="5">
        <v>622330</v>
      </c>
      <c r="D34" s="5" t="s">
        <v>43</v>
      </c>
      <c r="E34" s="34" t="s">
        <v>34</v>
      </c>
      <c r="F34" s="48" t="s">
        <v>692</v>
      </c>
      <c r="G34" s="48" t="s">
        <v>692</v>
      </c>
      <c r="H34" s="48" t="s">
        <v>692</v>
      </c>
      <c r="I34" s="48" t="s">
        <v>692</v>
      </c>
      <c r="J34" s="53">
        <v>196258.11000000002</v>
      </c>
      <c r="K34" s="56">
        <v>43412.320000000007</v>
      </c>
      <c r="L34" s="56">
        <v>152845.79</v>
      </c>
      <c r="M34" s="54">
        <v>152845.79</v>
      </c>
      <c r="N34" s="55">
        <v>0</v>
      </c>
      <c r="O34" s="52">
        <v>0</v>
      </c>
      <c r="P34" s="4">
        <f t="shared" si="0"/>
        <v>0.77879986717491567</v>
      </c>
      <c r="Q34" s="71"/>
      <c r="R34" s="71"/>
    </row>
    <row r="35" spans="1:18" x14ac:dyDescent="0.3">
      <c r="A35" s="5" t="s">
        <v>7</v>
      </c>
      <c r="B35" s="5" t="s">
        <v>5</v>
      </c>
      <c r="C35" s="5">
        <v>499464</v>
      </c>
      <c r="D35" s="5" t="s">
        <v>47</v>
      </c>
      <c r="E35" s="37" t="s">
        <v>48</v>
      </c>
      <c r="F35" s="5" t="s">
        <v>692</v>
      </c>
      <c r="G35" s="5" t="s">
        <v>692</v>
      </c>
      <c r="H35" s="5" t="s">
        <v>692</v>
      </c>
      <c r="I35" s="5" t="s">
        <v>692</v>
      </c>
      <c r="J35" s="53">
        <v>742150.66552158759</v>
      </c>
      <c r="K35" s="56">
        <v>0</v>
      </c>
      <c r="L35" s="56">
        <v>742150.66552158759</v>
      </c>
      <c r="M35" s="54">
        <v>630828.06569334946</v>
      </c>
      <c r="N35" s="54">
        <v>111322.59982823813</v>
      </c>
      <c r="O35" s="52">
        <v>0</v>
      </c>
      <c r="P35" s="4">
        <f t="shared" si="0"/>
        <v>1</v>
      </c>
      <c r="Q35" s="71"/>
      <c r="R35" s="71"/>
    </row>
    <row r="36" spans="1:18" x14ac:dyDescent="0.3">
      <c r="A36" s="5" t="s">
        <v>7</v>
      </c>
      <c r="B36" s="5" t="s">
        <v>5</v>
      </c>
      <c r="C36" s="5">
        <v>499464</v>
      </c>
      <c r="D36" s="5" t="s">
        <v>47</v>
      </c>
      <c r="E36" s="34" t="s">
        <v>49</v>
      </c>
      <c r="F36" s="5" t="s">
        <v>692</v>
      </c>
      <c r="G36" s="5" t="s">
        <v>692</v>
      </c>
      <c r="H36" s="5" t="s">
        <v>692</v>
      </c>
      <c r="I36" s="5" t="s">
        <v>692</v>
      </c>
      <c r="J36" s="53">
        <v>86171.739999999991</v>
      </c>
      <c r="K36" s="56">
        <v>0</v>
      </c>
      <c r="L36" s="56">
        <v>86171.739999999991</v>
      </c>
      <c r="M36" s="54">
        <v>73245.978999999992</v>
      </c>
      <c r="N36" s="54">
        <v>12925.760999999999</v>
      </c>
      <c r="O36" s="52">
        <v>0</v>
      </c>
      <c r="P36" s="4">
        <f t="shared" si="0"/>
        <v>1</v>
      </c>
      <c r="Q36" s="71"/>
      <c r="R36" s="71"/>
    </row>
    <row r="37" spans="1:18" x14ac:dyDescent="0.3">
      <c r="A37" s="5" t="s">
        <v>7</v>
      </c>
      <c r="B37" s="5" t="s">
        <v>5</v>
      </c>
      <c r="C37" s="5">
        <v>499464</v>
      </c>
      <c r="D37" s="5" t="s">
        <v>47</v>
      </c>
      <c r="E37" s="34" t="s">
        <v>50</v>
      </c>
      <c r="F37" s="5" t="s">
        <v>692</v>
      </c>
      <c r="G37" s="5" t="s">
        <v>692</v>
      </c>
      <c r="H37" s="5" t="s">
        <v>692</v>
      </c>
      <c r="I37" s="5" t="s">
        <v>692</v>
      </c>
      <c r="J37" s="53">
        <v>164006.404726376</v>
      </c>
      <c r="K37" s="56">
        <v>0</v>
      </c>
      <c r="L37" s="56">
        <v>164006.404726376</v>
      </c>
      <c r="M37" s="54">
        <v>139405.44401741959</v>
      </c>
      <c r="N37" s="54">
        <v>24600.960708956409</v>
      </c>
      <c r="O37" s="52">
        <v>0</v>
      </c>
      <c r="P37" s="4">
        <f t="shared" si="0"/>
        <v>1</v>
      </c>
      <c r="Q37" s="71"/>
      <c r="R37" s="71"/>
    </row>
    <row r="38" spans="1:18" x14ac:dyDescent="0.3">
      <c r="A38" s="5" t="s">
        <v>7</v>
      </c>
      <c r="B38" s="5" t="s">
        <v>5</v>
      </c>
      <c r="C38" s="5">
        <v>499464</v>
      </c>
      <c r="D38" s="5" t="s">
        <v>47</v>
      </c>
      <c r="E38" s="34" t="s">
        <v>51</v>
      </c>
      <c r="F38" s="5" t="s">
        <v>692</v>
      </c>
      <c r="G38" s="5" t="s">
        <v>692</v>
      </c>
      <c r="H38" s="5" t="s">
        <v>692</v>
      </c>
      <c r="I38" s="5" t="s">
        <v>692</v>
      </c>
      <c r="J38" s="53">
        <v>100000</v>
      </c>
      <c r="K38" s="56">
        <v>22119.991889709941</v>
      </c>
      <c r="L38" s="56">
        <v>77880.008110290059</v>
      </c>
      <c r="M38" s="54">
        <v>77880.008110290059</v>
      </c>
      <c r="N38" s="55">
        <v>0</v>
      </c>
      <c r="O38" s="52">
        <v>0</v>
      </c>
      <c r="P38" s="4">
        <f t="shared" si="0"/>
        <v>0.77880008110290055</v>
      </c>
      <c r="Q38" s="71"/>
      <c r="R38" s="71"/>
    </row>
    <row r="39" spans="1:18" x14ac:dyDescent="0.3">
      <c r="A39" s="5" t="s">
        <v>7</v>
      </c>
      <c r="B39" s="5" t="s">
        <v>5</v>
      </c>
      <c r="C39" s="5">
        <v>499464</v>
      </c>
      <c r="D39" s="5" t="s">
        <v>47</v>
      </c>
      <c r="E39" s="34" t="s">
        <v>52</v>
      </c>
      <c r="F39" s="5" t="s">
        <v>692</v>
      </c>
      <c r="G39" s="5" t="s">
        <v>692</v>
      </c>
      <c r="H39" s="5" t="s">
        <v>692</v>
      </c>
      <c r="I39" s="5" t="s">
        <v>692</v>
      </c>
      <c r="J39" s="53">
        <v>100000</v>
      </c>
      <c r="K39" s="56">
        <v>22119.991889709941</v>
      </c>
      <c r="L39" s="56">
        <v>77880.008110290059</v>
      </c>
      <c r="M39" s="54">
        <v>77880.008110290059</v>
      </c>
      <c r="N39" s="55">
        <v>0</v>
      </c>
      <c r="O39" s="52">
        <v>0</v>
      </c>
      <c r="P39" s="4">
        <f t="shared" si="0"/>
        <v>0.77880008110290055</v>
      </c>
      <c r="Q39" s="71"/>
      <c r="R39" s="71"/>
    </row>
    <row r="40" spans="1:18" x14ac:dyDescent="0.3">
      <c r="A40" s="5" t="s">
        <v>7</v>
      </c>
      <c r="B40" s="5" t="s">
        <v>5</v>
      </c>
      <c r="C40" s="5">
        <v>499464</v>
      </c>
      <c r="D40" s="5" t="s">
        <v>47</v>
      </c>
      <c r="E40" s="34" t="s">
        <v>53</v>
      </c>
      <c r="F40" s="5" t="s">
        <v>692</v>
      </c>
      <c r="G40" s="5" t="s">
        <v>692</v>
      </c>
      <c r="H40" s="5" t="s">
        <v>692</v>
      </c>
      <c r="I40" s="5" t="s">
        <v>692</v>
      </c>
      <c r="J40" s="53">
        <v>96280.56</v>
      </c>
      <c r="K40" s="56">
        <v>21297.22</v>
      </c>
      <c r="L40" s="56">
        <v>74983.34</v>
      </c>
      <c r="M40" s="54">
        <v>74983.34</v>
      </c>
      <c r="N40" s="55">
        <v>0</v>
      </c>
      <c r="O40" s="52">
        <v>0</v>
      </c>
      <c r="P40" s="4">
        <f t="shared" si="0"/>
        <v>0.77880041412305867</v>
      </c>
      <c r="Q40" s="71"/>
      <c r="R40" s="71"/>
    </row>
    <row r="41" spans="1:18" x14ac:dyDescent="0.3">
      <c r="A41" s="5" t="s">
        <v>7</v>
      </c>
      <c r="B41" s="5" t="s">
        <v>5</v>
      </c>
      <c r="C41" s="5">
        <v>618805</v>
      </c>
      <c r="D41" s="5" t="s">
        <v>54</v>
      </c>
      <c r="E41" s="34" t="s">
        <v>55</v>
      </c>
      <c r="F41" s="9" t="s">
        <v>692</v>
      </c>
      <c r="G41" s="9" t="s">
        <v>692</v>
      </c>
      <c r="H41" s="9" t="s">
        <v>692</v>
      </c>
      <c r="I41" s="9" t="s">
        <v>692</v>
      </c>
      <c r="J41" s="53">
        <v>539940.35</v>
      </c>
      <c r="K41" s="53">
        <v>0</v>
      </c>
      <c r="L41" s="53">
        <v>539940.35</v>
      </c>
      <c r="M41" s="54">
        <v>458949.29749999999</v>
      </c>
      <c r="N41" s="54">
        <v>80991.052499999991</v>
      </c>
      <c r="O41" s="52">
        <v>0</v>
      </c>
      <c r="P41" s="4">
        <f t="shared" si="0"/>
        <v>1</v>
      </c>
      <c r="Q41" s="71"/>
      <c r="R41" s="71"/>
    </row>
    <row r="42" spans="1:18" x14ac:dyDescent="0.3">
      <c r="A42" s="5" t="s">
        <v>7</v>
      </c>
      <c r="B42" s="5" t="s">
        <v>5</v>
      </c>
      <c r="C42" s="5">
        <v>618805</v>
      </c>
      <c r="D42" s="5" t="s">
        <v>54</v>
      </c>
      <c r="E42" s="36" t="s">
        <v>56</v>
      </c>
      <c r="F42" s="9" t="s">
        <v>692</v>
      </c>
      <c r="G42" s="9" t="s">
        <v>692</v>
      </c>
      <c r="H42" s="9" t="s">
        <v>692</v>
      </c>
      <c r="I42" s="9" t="s">
        <v>692</v>
      </c>
      <c r="J42" s="53">
        <v>26910</v>
      </c>
      <c r="K42" s="53">
        <v>0</v>
      </c>
      <c r="L42" s="53">
        <v>26910</v>
      </c>
      <c r="M42" s="54">
        <v>22873.5</v>
      </c>
      <c r="N42" s="54">
        <v>4036.5</v>
      </c>
      <c r="O42" s="52">
        <v>0</v>
      </c>
      <c r="P42" s="4">
        <f t="shared" si="0"/>
        <v>1</v>
      </c>
      <c r="Q42" s="71"/>
      <c r="R42" s="71"/>
    </row>
    <row r="43" spans="1:18" x14ac:dyDescent="0.3">
      <c r="A43" s="5" t="s">
        <v>7</v>
      </c>
      <c r="B43" s="5" t="s">
        <v>5</v>
      </c>
      <c r="C43" s="5">
        <v>618805</v>
      </c>
      <c r="D43" s="5" t="s">
        <v>54</v>
      </c>
      <c r="E43" s="36" t="s">
        <v>57</v>
      </c>
      <c r="F43" s="9" t="s">
        <v>692</v>
      </c>
      <c r="G43" s="9" t="s">
        <v>692</v>
      </c>
      <c r="H43" s="9" t="s">
        <v>692</v>
      </c>
      <c r="I43" s="9" t="s">
        <v>692</v>
      </c>
      <c r="J43" s="53">
        <v>49322.539999999994</v>
      </c>
      <c r="K43" s="53">
        <v>0</v>
      </c>
      <c r="L43" s="53">
        <v>49322.539999999994</v>
      </c>
      <c r="M43" s="54">
        <v>41924.158999999992</v>
      </c>
      <c r="N43" s="54">
        <v>7398.3810000000012</v>
      </c>
      <c r="O43" s="52">
        <v>0</v>
      </c>
      <c r="P43" s="4">
        <f t="shared" si="0"/>
        <v>1</v>
      </c>
      <c r="Q43" s="71"/>
      <c r="R43" s="71"/>
    </row>
    <row r="44" spans="1:18" x14ac:dyDescent="0.3">
      <c r="A44" s="5" t="s">
        <v>7</v>
      </c>
      <c r="B44" s="5" t="s">
        <v>5</v>
      </c>
      <c r="C44" s="5">
        <v>566950</v>
      </c>
      <c r="D44" s="5" t="s">
        <v>58</v>
      </c>
      <c r="E44" s="36" t="s">
        <v>59</v>
      </c>
      <c r="F44" s="9" t="s">
        <v>692</v>
      </c>
      <c r="G44" s="9" t="s">
        <v>692</v>
      </c>
      <c r="H44" s="9" t="s">
        <v>692</v>
      </c>
      <c r="I44" s="9" t="s">
        <v>692</v>
      </c>
      <c r="J44" s="53">
        <v>725527.33000000007</v>
      </c>
      <c r="K44" s="53">
        <v>0</v>
      </c>
      <c r="L44" s="53">
        <v>725527.33000000007</v>
      </c>
      <c r="M44" s="54">
        <v>616698.23050000006</v>
      </c>
      <c r="N44" s="54">
        <v>108829.09950000001</v>
      </c>
      <c r="O44" s="52">
        <v>0</v>
      </c>
      <c r="P44" s="4">
        <f t="shared" si="0"/>
        <v>1</v>
      </c>
      <c r="Q44" s="71"/>
      <c r="R44" s="71"/>
    </row>
    <row r="45" spans="1:18" x14ac:dyDescent="0.3">
      <c r="A45" s="5" t="s">
        <v>7</v>
      </c>
      <c r="B45" s="5" t="s">
        <v>5</v>
      </c>
      <c r="C45" s="5">
        <v>566950</v>
      </c>
      <c r="D45" s="5" t="s">
        <v>58</v>
      </c>
      <c r="E45" s="36" t="s">
        <v>60</v>
      </c>
      <c r="F45" s="9" t="s">
        <v>692</v>
      </c>
      <c r="G45" s="9" t="s">
        <v>692</v>
      </c>
      <c r="H45" s="9" t="s">
        <v>692</v>
      </c>
      <c r="I45" s="9" t="s">
        <v>692</v>
      </c>
      <c r="J45" s="53">
        <v>30269.56</v>
      </c>
      <c r="K45" s="53">
        <v>0</v>
      </c>
      <c r="L45" s="53">
        <v>30269.56</v>
      </c>
      <c r="M45" s="54">
        <v>25729.126</v>
      </c>
      <c r="N45" s="54">
        <v>4540.4340000000011</v>
      </c>
      <c r="O45" s="52">
        <v>0</v>
      </c>
      <c r="P45" s="4">
        <f t="shared" si="0"/>
        <v>1</v>
      </c>
      <c r="Q45" s="71"/>
      <c r="R45" s="71"/>
    </row>
    <row r="46" spans="1:18" ht="44.35" x14ac:dyDescent="0.3">
      <c r="A46" s="5" t="s">
        <v>7</v>
      </c>
      <c r="B46" s="5" t="s">
        <v>5</v>
      </c>
      <c r="C46" s="5">
        <v>566950</v>
      </c>
      <c r="D46" s="5" t="s">
        <v>58</v>
      </c>
      <c r="E46" s="36" t="s">
        <v>61</v>
      </c>
      <c r="F46" s="9" t="s">
        <v>692</v>
      </c>
      <c r="G46" s="9" t="s">
        <v>692</v>
      </c>
      <c r="H46" s="9" t="s">
        <v>692</v>
      </c>
      <c r="I46" s="9" t="s">
        <v>692</v>
      </c>
      <c r="J46" s="53">
        <v>43994.717400000001</v>
      </c>
      <c r="K46" s="53">
        <v>0</v>
      </c>
      <c r="L46" s="53">
        <v>43994.717400000001</v>
      </c>
      <c r="M46" s="54">
        <v>37395.509790000004</v>
      </c>
      <c r="N46" s="54">
        <v>6599.2076099999977</v>
      </c>
      <c r="O46" s="52">
        <v>0</v>
      </c>
      <c r="P46" s="4">
        <f t="shared" si="0"/>
        <v>1</v>
      </c>
      <c r="Q46" s="71"/>
      <c r="R46" s="71"/>
    </row>
    <row r="47" spans="1:18" x14ac:dyDescent="0.3">
      <c r="A47" s="5" t="s">
        <v>7</v>
      </c>
      <c r="B47" s="5" t="s">
        <v>5</v>
      </c>
      <c r="C47" s="5">
        <v>566950</v>
      </c>
      <c r="D47" s="5" t="s">
        <v>58</v>
      </c>
      <c r="E47" s="36" t="s">
        <v>62</v>
      </c>
      <c r="F47" s="9" t="s">
        <v>692</v>
      </c>
      <c r="G47" s="9" t="s">
        <v>692</v>
      </c>
      <c r="H47" s="9" t="s">
        <v>692</v>
      </c>
      <c r="I47" s="9" t="s">
        <v>692</v>
      </c>
      <c r="J47" s="53">
        <v>329401.65000000002</v>
      </c>
      <c r="K47" s="53">
        <v>0</v>
      </c>
      <c r="L47" s="53">
        <v>329401.65000000002</v>
      </c>
      <c r="M47" s="54">
        <v>279991.40250000003</v>
      </c>
      <c r="N47" s="54">
        <v>49410.247499999998</v>
      </c>
      <c r="O47" s="52">
        <v>0</v>
      </c>
      <c r="P47" s="4">
        <f t="shared" si="0"/>
        <v>1</v>
      </c>
      <c r="Q47" s="71"/>
      <c r="R47" s="71"/>
    </row>
    <row r="48" spans="1:18" x14ac:dyDescent="0.3">
      <c r="A48" s="5" t="s">
        <v>7</v>
      </c>
      <c r="B48" s="5" t="s">
        <v>5</v>
      </c>
      <c r="C48" s="5">
        <v>566950</v>
      </c>
      <c r="D48" s="5" t="s">
        <v>58</v>
      </c>
      <c r="E48" s="36" t="s">
        <v>63</v>
      </c>
      <c r="F48" s="9" t="s">
        <v>692</v>
      </c>
      <c r="G48" s="9" t="s">
        <v>692</v>
      </c>
      <c r="H48" s="9" t="s">
        <v>692</v>
      </c>
      <c r="I48" s="9" t="s">
        <v>692</v>
      </c>
      <c r="J48" s="53">
        <v>34456.170111742002</v>
      </c>
      <c r="K48" s="53">
        <v>0</v>
      </c>
      <c r="L48" s="53">
        <v>34456.170111742002</v>
      </c>
      <c r="M48" s="54">
        <v>29287.744594980701</v>
      </c>
      <c r="N48" s="54">
        <v>5168.425516761301</v>
      </c>
      <c r="O48" s="52">
        <v>0</v>
      </c>
      <c r="P48" s="4">
        <f t="shared" si="0"/>
        <v>1</v>
      </c>
      <c r="Q48" s="71"/>
      <c r="R48" s="71"/>
    </row>
    <row r="49" spans="1:18" x14ac:dyDescent="0.3">
      <c r="A49" s="5" t="s">
        <v>7</v>
      </c>
      <c r="B49" s="5" t="s">
        <v>5</v>
      </c>
      <c r="C49" s="5">
        <v>566950</v>
      </c>
      <c r="D49" s="5" t="s">
        <v>58</v>
      </c>
      <c r="E49" s="36" t="s">
        <v>64</v>
      </c>
      <c r="F49" s="5" t="s">
        <v>692</v>
      </c>
      <c r="G49" s="5" t="s">
        <v>692</v>
      </c>
      <c r="H49" s="5" t="s">
        <v>692</v>
      </c>
      <c r="I49" s="5" t="s">
        <v>692</v>
      </c>
      <c r="J49" s="53">
        <v>69319.396576961997</v>
      </c>
      <c r="K49" s="53">
        <v>0</v>
      </c>
      <c r="L49" s="53">
        <v>69319.396576961997</v>
      </c>
      <c r="M49" s="54">
        <v>58921.487090417693</v>
      </c>
      <c r="N49" s="54">
        <v>10397.909486544304</v>
      </c>
      <c r="O49" s="52">
        <v>0</v>
      </c>
      <c r="P49" s="4">
        <f t="shared" si="0"/>
        <v>1</v>
      </c>
      <c r="Q49" s="71"/>
      <c r="R49" s="71"/>
    </row>
    <row r="50" spans="1:18" ht="29.55" x14ac:dyDescent="0.3">
      <c r="A50" s="5" t="s">
        <v>7</v>
      </c>
      <c r="B50" s="5" t="s">
        <v>5</v>
      </c>
      <c r="C50" s="5">
        <v>566950</v>
      </c>
      <c r="D50" s="5" t="s">
        <v>58</v>
      </c>
      <c r="E50" s="34" t="s">
        <v>65</v>
      </c>
      <c r="F50" s="5" t="s">
        <v>692</v>
      </c>
      <c r="G50" s="5">
        <v>3286</v>
      </c>
      <c r="H50" s="5">
        <v>581757</v>
      </c>
      <c r="I50" s="5" t="s">
        <v>692</v>
      </c>
      <c r="J50" s="53">
        <v>120440.35</v>
      </c>
      <c r="K50" s="53">
        <v>30362.954998268004</v>
      </c>
      <c r="L50" s="53">
        <v>90077.395001732002</v>
      </c>
      <c r="M50" s="54">
        <v>90077.395001732002</v>
      </c>
      <c r="N50" s="55">
        <v>0</v>
      </c>
      <c r="O50" s="52">
        <v>0</v>
      </c>
      <c r="P50" s="4">
        <f t="shared" si="0"/>
        <v>0.74790047522887471</v>
      </c>
      <c r="Q50" s="71"/>
      <c r="R50" s="71"/>
    </row>
    <row r="51" spans="1:18" ht="44.35" x14ac:dyDescent="0.3">
      <c r="A51" s="5" t="s">
        <v>7</v>
      </c>
      <c r="B51" s="5" t="s">
        <v>5</v>
      </c>
      <c r="C51" s="5">
        <v>566950</v>
      </c>
      <c r="D51" s="5" t="s">
        <v>58</v>
      </c>
      <c r="E51" s="34" t="s">
        <v>66</v>
      </c>
      <c r="F51" s="9" t="s">
        <v>692</v>
      </c>
      <c r="G51" s="9">
        <v>3286</v>
      </c>
      <c r="H51" s="9">
        <v>581758</v>
      </c>
      <c r="I51" s="9" t="s">
        <v>692</v>
      </c>
      <c r="J51" s="53">
        <v>30000</v>
      </c>
      <c r="K51" s="53">
        <v>7562.6941260000021</v>
      </c>
      <c r="L51" s="53">
        <v>22437.305873999998</v>
      </c>
      <c r="M51" s="54">
        <v>22437.305873999998</v>
      </c>
      <c r="N51" s="55">
        <v>0</v>
      </c>
      <c r="O51" s="52">
        <v>0</v>
      </c>
      <c r="P51" s="4">
        <f t="shared" si="0"/>
        <v>0.74791019579999996</v>
      </c>
      <c r="Q51" s="71"/>
      <c r="R51" s="71"/>
    </row>
    <row r="52" spans="1:18" x14ac:dyDescent="0.3">
      <c r="A52" s="5" t="s">
        <v>7</v>
      </c>
      <c r="B52" s="5" t="s">
        <v>5</v>
      </c>
      <c r="C52" s="5">
        <v>566950</v>
      </c>
      <c r="D52" s="5" t="s">
        <v>58</v>
      </c>
      <c r="E52" s="36" t="s">
        <v>67</v>
      </c>
      <c r="F52" s="9" t="s">
        <v>692</v>
      </c>
      <c r="G52" s="9" t="s">
        <v>692</v>
      </c>
      <c r="H52" s="9" t="s">
        <v>692</v>
      </c>
      <c r="I52" s="9" t="s">
        <v>692</v>
      </c>
      <c r="J52" s="53">
        <v>35714.911585319998</v>
      </c>
      <c r="K52" s="53">
        <v>0</v>
      </c>
      <c r="L52" s="53">
        <v>35714.911585319998</v>
      </c>
      <c r="M52" s="54">
        <v>30357.674847521997</v>
      </c>
      <c r="N52" s="54">
        <v>5357.2367377980008</v>
      </c>
      <c r="O52" s="52">
        <v>0</v>
      </c>
      <c r="P52" s="4">
        <f t="shared" si="0"/>
        <v>1</v>
      </c>
      <c r="Q52" s="71"/>
      <c r="R52" s="71"/>
    </row>
    <row r="53" spans="1:18" ht="29.55" x14ac:dyDescent="0.3">
      <c r="A53" s="5" t="s">
        <v>7</v>
      </c>
      <c r="B53" s="5" t="s">
        <v>5</v>
      </c>
      <c r="C53" s="5">
        <v>566950</v>
      </c>
      <c r="D53" s="5" t="s">
        <v>58</v>
      </c>
      <c r="E53" s="36" t="s">
        <v>68</v>
      </c>
      <c r="F53" s="5" t="s">
        <v>692</v>
      </c>
      <c r="G53" s="5">
        <v>3286</v>
      </c>
      <c r="H53" s="5">
        <v>581759</v>
      </c>
      <c r="I53" s="5" t="s">
        <v>692</v>
      </c>
      <c r="J53" s="53">
        <v>37146</v>
      </c>
      <c r="K53" s="53">
        <v>9364.1278668131999</v>
      </c>
      <c r="L53" s="53">
        <v>27781.8721331868</v>
      </c>
      <c r="M53" s="54">
        <v>27781.8721331868</v>
      </c>
      <c r="N53" s="55">
        <v>0</v>
      </c>
      <c r="O53" s="52">
        <v>0</v>
      </c>
      <c r="P53" s="4">
        <f t="shared" si="0"/>
        <v>0.74791019579999996</v>
      </c>
      <c r="Q53" s="71"/>
      <c r="R53" s="71"/>
    </row>
    <row r="54" spans="1:18" ht="29.55" x14ac:dyDescent="0.3">
      <c r="A54" s="5" t="s">
        <v>7</v>
      </c>
      <c r="B54" s="5" t="s">
        <v>5</v>
      </c>
      <c r="C54" s="5">
        <v>637541</v>
      </c>
      <c r="D54" s="5" t="s">
        <v>69</v>
      </c>
      <c r="E54" s="34" t="s">
        <v>70</v>
      </c>
      <c r="F54" s="5" t="s">
        <v>692</v>
      </c>
      <c r="G54" s="5" t="s">
        <v>692</v>
      </c>
      <c r="H54" s="5" t="s">
        <v>692</v>
      </c>
      <c r="I54" s="5" t="s">
        <v>692</v>
      </c>
      <c r="J54" s="53">
        <v>324056.27</v>
      </c>
      <c r="K54" s="53">
        <v>0</v>
      </c>
      <c r="L54" s="53">
        <v>324056.27</v>
      </c>
      <c r="M54" s="54">
        <v>275447.82949999999</v>
      </c>
      <c r="N54" s="54">
        <v>48608.440500000026</v>
      </c>
      <c r="O54" s="52">
        <v>0</v>
      </c>
      <c r="P54" s="4">
        <f t="shared" si="0"/>
        <v>1</v>
      </c>
      <c r="Q54" s="71"/>
      <c r="R54" s="71"/>
    </row>
    <row r="55" spans="1:18" x14ac:dyDescent="0.3">
      <c r="A55" s="5" t="s">
        <v>7</v>
      </c>
      <c r="B55" s="5" t="s">
        <v>5</v>
      </c>
      <c r="C55" s="5">
        <v>637541</v>
      </c>
      <c r="D55" s="5" t="s">
        <v>69</v>
      </c>
      <c r="E55" s="34" t="s">
        <v>71</v>
      </c>
      <c r="F55" s="5" t="s">
        <v>692</v>
      </c>
      <c r="G55" s="5">
        <v>3286</v>
      </c>
      <c r="H55" s="5">
        <v>581760</v>
      </c>
      <c r="I55" s="5">
        <v>864881</v>
      </c>
      <c r="J55" s="53">
        <v>143669.80000000002</v>
      </c>
      <c r="K55" s="53">
        <v>36219.140000000014</v>
      </c>
      <c r="L55" s="53">
        <v>107450.66</v>
      </c>
      <c r="M55" s="54">
        <v>107450.66</v>
      </c>
      <c r="N55" s="55">
        <v>0</v>
      </c>
      <c r="O55" s="52">
        <v>0</v>
      </c>
      <c r="P55" s="4">
        <f t="shared" si="0"/>
        <v>0.74790011540351553</v>
      </c>
      <c r="Q55" s="71"/>
      <c r="R55" s="71"/>
    </row>
    <row r="56" spans="1:18" ht="29.55" x14ac:dyDescent="0.3">
      <c r="A56" s="5" t="s">
        <v>7</v>
      </c>
      <c r="B56" s="5" t="s">
        <v>5</v>
      </c>
      <c r="C56" s="5">
        <v>637541</v>
      </c>
      <c r="D56" s="5" t="s">
        <v>69</v>
      </c>
      <c r="E56" s="34" t="s">
        <v>72</v>
      </c>
      <c r="F56" s="5" t="s">
        <v>692</v>
      </c>
      <c r="G56" s="5" t="s">
        <v>692</v>
      </c>
      <c r="H56" s="5" t="s">
        <v>692</v>
      </c>
      <c r="I56" s="5" t="s">
        <v>692</v>
      </c>
      <c r="J56" s="53">
        <v>81738.73000000001</v>
      </c>
      <c r="K56" s="53">
        <v>0</v>
      </c>
      <c r="L56" s="53">
        <v>81738.73000000001</v>
      </c>
      <c r="M56" s="54">
        <v>69477.920500000007</v>
      </c>
      <c r="N56" s="54">
        <v>12260.809500000003</v>
      </c>
      <c r="O56" s="52">
        <v>0</v>
      </c>
      <c r="P56" s="4">
        <f t="shared" si="0"/>
        <v>1</v>
      </c>
      <c r="Q56" s="71"/>
      <c r="R56" s="71"/>
    </row>
    <row r="57" spans="1:18" x14ac:dyDescent="0.3">
      <c r="A57" s="5" t="s">
        <v>7</v>
      </c>
      <c r="B57" s="5" t="s">
        <v>5</v>
      </c>
      <c r="C57" s="5">
        <v>637541</v>
      </c>
      <c r="D57" s="5" t="s">
        <v>69</v>
      </c>
      <c r="E57" s="34" t="s">
        <v>73</v>
      </c>
      <c r="F57" s="5" t="s">
        <v>692</v>
      </c>
      <c r="G57" s="5">
        <v>3286</v>
      </c>
      <c r="H57" s="5">
        <v>581761</v>
      </c>
      <c r="I57" s="5" t="s">
        <v>692</v>
      </c>
      <c r="J57" s="53">
        <v>150000</v>
      </c>
      <c r="K57" s="53">
        <v>37813.470630000003</v>
      </c>
      <c r="L57" s="53">
        <v>112186.52937</v>
      </c>
      <c r="M57" s="54">
        <v>112186.52937</v>
      </c>
      <c r="N57" s="55">
        <v>0</v>
      </c>
      <c r="O57" s="52">
        <v>0</v>
      </c>
      <c r="P57" s="4">
        <f t="shared" si="0"/>
        <v>0.74791019580000007</v>
      </c>
      <c r="Q57" s="71"/>
      <c r="R57" s="71"/>
    </row>
    <row r="58" spans="1:18" x14ac:dyDescent="0.3">
      <c r="A58" s="5" t="s">
        <v>7</v>
      </c>
      <c r="B58" s="5" t="s">
        <v>5</v>
      </c>
      <c r="C58" s="5">
        <v>637541</v>
      </c>
      <c r="D58" s="5" t="s">
        <v>69</v>
      </c>
      <c r="E58" s="34" t="s">
        <v>74</v>
      </c>
      <c r="F58" s="5" t="s">
        <v>692</v>
      </c>
      <c r="G58" s="5">
        <v>3286</v>
      </c>
      <c r="H58" s="5">
        <v>581762</v>
      </c>
      <c r="I58" s="5" t="s">
        <v>692</v>
      </c>
      <c r="J58" s="53">
        <v>40000</v>
      </c>
      <c r="K58" s="53">
        <v>10083.592167999999</v>
      </c>
      <c r="L58" s="53">
        <v>29916.407832000001</v>
      </c>
      <c r="M58" s="54">
        <v>29916.407832000001</v>
      </c>
      <c r="N58" s="55">
        <v>0</v>
      </c>
      <c r="O58" s="52">
        <v>0</v>
      </c>
      <c r="P58" s="4">
        <f t="shared" si="0"/>
        <v>0.74791019580000007</v>
      </c>
      <c r="Q58" s="71"/>
      <c r="R58" s="71"/>
    </row>
    <row r="59" spans="1:18" ht="29.55" x14ac:dyDescent="0.3">
      <c r="A59" s="5" t="s">
        <v>7</v>
      </c>
      <c r="B59" s="5" t="s">
        <v>5</v>
      </c>
      <c r="C59" s="5">
        <v>475998</v>
      </c>
      <c r="D59" s="5" t="s">
        <v>75</v>
      </c>
      <c r="E59" s="34" t="s">
        <v>41</v>
      </c>
      <c r="F59" s="5" t="s">
        <v>692</v>
      </c>
      <c r="G59" s="5" t="s">
        <v>692</v>
      </c>
      <c r="H59" s="5" t="s">
        <v>692</v>
      </c>
      <c r="I59" s="5" t="s">
        <v>692</v>
      </c>
      <c r="J59" s="53">
        <v>734152.53</v>
      </c>
      <c r="K59" s="53">
        <v>0</v>
      </c>
      <c r="L59" s="53">
        <v>734152.53</v>
      </c>
      <c r="M59" s="54">
        <v>624029.65049999999</v>
      </c>
      <c r="N59" s="54">
        <v>110122.87950000004</v>
      </c>
      <c r="O59" s="52">
        <v>0</v>
      </c>
      <c r="P59" s="4">
        <f t="shared" si="0"/>
        <v>1</v>
      </c>
      <c r="Q59" s="71"/>
      <c r="R59" s="71"/>
    </row>
    <row r="60" spans="1:18" x14ac:dyDescent="0.3">
      <c r="A60" s="5" t="s">
        <v>7</v>
      </c>
      <c r="B60" s="5" t="s">
        <v>5</v>
      </c>
      <c r="C60" s="5">
        <v>475998</v>
      </c>
      <c r="D60" s="5" t="s">
        <v>75</v>
      </c>
      <c r="E60" s="34" t="s">
        <v>76</v>
      </c>
      <c r="F60" s="5" t="s">
        <v>692</v>
      </c>
      <c r="G60" s="5" t="s">
        <v>692</v>
      </c>
      <c r="H60" s="5" t="s">
        <v>692</v>
      </c>
      <c r="I60" s="5" t="s">
        <v>692</v>
      </c>
      <c r="J60" s="53">
        <v>272864.61000000004</v>
      </c>
      <c r="K60" s="53">
        <v>0</v>
      </c>
      <c r="L60" s="53">
        <v>272864.61000000004</v>
      </c>
      <c r="M60" s="54">
        <v>231934.91850000003</v>
      </c>
      <c r="N60" s="54">
        <v>40929.691500000015</v>
      </c>
      <c r="O60" s="52">
        <v>0</v>
      </c>
      <c r="P60" s="4">
        <f t="shared" si="0"/>
        <v>1</v>
      </c>
      <c r="Q60" s="71"/>
      <c r="R60" s="71"/>
    </row>
    <row r="61" spans="1:18" ht="29.55" x14ac:dyDescent="0.3">
      <c r="A61" s="5" t="s">
        <v>7</v>
      </c>
      <c r="B61" s="5" t="s">
        <v>5</v>
      </c>
      <c r="C61" s="5">
        <v>546749</v>
      </c>
      <c r="D61" s="5" t="s">
        <v>77</v>
      </c>
      <c r="E61" s="34" t="s">
        <v>78</v>
      </c>
      <c r="F61" s="5" t="s">
        <v>692</v>
      </c>
      <c r="G61" s="5" t="s">
        <v>692</v>
      </c>
      <c r="H61" s="5" t="s">
        <v>692</v>
      </c>
      <c r="I61" s="5" t="s">
        <v>692</v>
      </c>
      <c r="J61" s="53">
        <v>120582.20118799999</v>
      </c>
      <c r="K61" s="53">
        <v>0</v>
      </c>
      <c r="L61" s="53">
        <v>120582.20118799999</v>
      </c>
      <c r="M61" s="54">
        <v>102494.87100979999</v>
      </c>
      <c r="N61" s="54">
        <v>18087.330178200005</v>
      </c>
      <c r="O61" s="52">
        <v>0</v>
      </c>
      <c r="P61" s="4">
        <f t="shared" si="0"/>
        <v>1</v>
      </c>
      <c r="Q61" s="71"/>
      <c r="R61" s="71"/>
    </row>
    <row r="62" spans="1:18" x14ac:dyDescent="0.3">
      <c r="A62" s="5" t="s">
        <v>7</v>
      </c>
      <c r="B62" s="5" t="s">
        <v>5</v>
      </c>
      <c r="C62" s="5">
        <v>546749</v>
      </c>
      <c r="D62" s="5" t="s">
        <v>77</v>
      </c>
      <c r="E62" s="34" t="s">
        <v>79</v>
      </c>
      <c r="F62" s="5" t="s">
        <v>692</v>
      </c>
      <c r="G62" s="5">
        <v>3286</v>
      </c>
      <c r="H62" s="5">
        <v>581763</v>
      </c>
      <c r="I62" s="5">
        <v>749843</v>
      </c>
      <c r="J62" s="53">
        <v>168616.51</v>
      </c>
      <c r="K62" s="53">
        <v>63450.430000000008</v>
      </c>
      <c r="L62" s="53">
        <v>105166.08</v>
      </c>
      <c r="M62" s="54">
        <v>105166.08</v>
      </c>
      <c r="N62" s="55">
        <v>0</v>
      </c>
      <c r="O62" s="52">
        <v>0</v>
      </c>
      <c r="P62" s="4">
        <f t="shared" si="0"/>
        <v>0.62369977886507078</v>
      </c>
      <c r="Q62" s="71"/>
      <c r="R62" s="71"/>
    </row>
    <row r="63" spans="1:18" ht="29.55" x14ac:dyDescent="0.3">
      <c r="A63" s="5" t="s">
        <v>7</v>
      </c>
      <c r="B63" s="5" t="s">
        <v>5</v>
      </c>
      <c r="C63" s="5">
        <v>523858</v>
      </c>
      <c r="D63" s="5" t="s">
        <v>80</v>
      </c>
      <c r="E63" s="34" t="s">
        <v>81</v>
      </c>
      <c r="F63" s="5" t="s">
        <v>692</v>
      </c>
      <c r="G63" s="5" t="s">
        <v>692</v>
      </c>
      <c r="H63" s="5" t="s">
        <v>692</v>
      </c>
      <c r="I63" s="5" t="s">
        <v>692</v>
      </c>
      <c r="J63" s="53">
        <v>645840.57719999994</v>
      </c>
      <c r="K63" s="53">
        <v>0</v>
      </c>
      <c r="L63" s="53">
        <v>645840.57719999994</v>
      </c>
      <c r="M63" s="54">
        <v>548964.49061999994</v>
      </c>
      <c r="N63" s="54">
        <v>96876.086580000003</v>
      </c>
      <c r="O63" s="52">
        <v>0</v>
      </c>
      <c r="P63" s="4">
        <f t="shared" si="0"/>
        <v>1</v>
      </c>
      <c r="Q63" s="71"/>
      <c r="R63" s="71"/>
    </row>
    <row r="64" spans="1:18" ht="29.55" x14ac:dyDescent="0.3">
      <c r="A64" s="5" t="s">
        <v>7</v>
      </c>
      <c r="B64" s="5" t="s">
        <v>5</v>
      </c>
      <c r="C64" s="5">
        <v>523858</v>
      </c>
      <c r="D64" s="5" t="s">
        <v>80</v>
      </c>
      <c r="E64" s="34" t="s">
        <v>82</v>
      </c>
      <c r="F64" s="5" t="s">
        <v>692</v>
      </c>
      <c r="G64" s="5" t="s">
        <v>692</v>
      </c>
      <c r="H64" s="5" t="s">
        <v>692</v>
      </c>
      <c r="I64" s="5" t="s">
        <v>692</v>
      </c>
      <c r="J64" s="53">
        <v>43006.604899999998</v>
      </c>
      <c r="K64" s="53">
        <v>0</v>
      </c>
      <c r="L64" s="53">
        <v>43006.604899999998</v>
      </c>
      <c r="M64" s="54">
        <v>36555.614164999999</v>
      </c>
      <c r="N64" s="54">
        <v>6450.9907349999994</v>
      </c>
      <c r="O64" s="52">
        <v>0</v>
      </c>
      <c r="P64" s="4">
        <f t="shared" si="0"/>
        <v>1</v>
      </c>
      <c r="Q64" s="71"/>
      <c r="R64" s="71"/>
    </row>
    <row r="65" spans="1:18" x14ac:dyDescent="0.3">
      <c r="A65" s="5" t="s">
        <v>7</v>
      </c>
      <c r="B65" s="5" t="s">
        <v>5</v>
      </c>
      <c r="C65" s="5">
        <v>523858</v>
      </c>
      <c r="D65" s="5" t="s">
        <v>80</v>
      </c>
      <c r="E65" s="34" t="s">
        <v>83</v>
      </c>
      <c r="F65" s="5" t="s">
        <v>692</v>
      </c>
      <c r="G65" s="5" t="s">
        <v>692</v>
      </c>
      <c r="H65" s="5" t="s">
        <v>692</v>
      </c>
      <c r="I65" s="5" t="s">
        <v>692</v>
      </c>
      <c r="J65" s="53">
        <v>214927.1004</v>
      </c>
      <c r="K65" s="53">
        <v>0</v>
      </c>
      <c r="L65" s="53">
        <v>214927.1004</v>
      </c>
      <c r="M65" s="54">
        <v>182688.03534</v>
      </c>
      <c r="N65" s="54">
        <v>32239.065059999994</v>
      </c>
      <c r="O65" s="52">
        <v>0</v>
      </c>
      <c r="P65" s="4">
        <f t="shared" si="0"/>
        <v>1</v>
      </c>
      <c r="Q65" s="71"/>
      <c r="R65" s="71"/>
    </row>
    <row r="66" spans="1:18" x14ac:dyDescent="0.3">
      <c r="A66" s="5" t="s">
        <v>7</v>
      </c>
      <c r="B66" s="5" t="s">
        <v>5</v>
      </c>
      <c r="C66" s="5">
        <v>613474</v>
      </c>
      <c r="D66" s="5" t="s">
        <v>84</v>
      </c>
      <c r="E66" s="34" t="s">
        <v>85</v>
      </c>
      <c r="F66" s="18" t="s">
        <v>692</v>
      </c>
      <c r="G66" s="18" t="s">
        <v>692</v>
      </c>
      <c r="H66" s="18" t="s">
        <v>692</v>
      </c>
      <c r="I66" s="18" t="s">
        <v>692</v>
      </c>
      <c r="J66" s="53">
        <v>435741.364</v>
      </c>
      <c r="K66" s="53">
        <v>0</v>
      </c>
      <c r="L66" s="53">
        <v>435741.364</v>
      </c>
      <c r="M66" s="54">
        <v>370380.1594</v>
      </c>
      <c r="N66" s="54">
        <v>65361.204599999997</v>
      </c>
      <c r="O66" s="52">
        <v>0</v>
      </c>
      <c r="P66" s="4">
        <f t="shared" si="0"/>
        <v>1</v>
      </c>
      <c r="Q66" s="71"/>
      <c r="R66" s="71"/>
    </row>
    <row r="67" spans="1:18" ht="44.35" x14ac:dyDescent="0.3">
      <c r="A67" s="5" t="s">
        <v>7</v>
      </c>
      <c r="B67" s="5" t="s">
        <v>5</v>
      </c>
      <c r="C67" s="5">
        <v>613474</v>
      </c>
      <c r="D67" s="5" t="s">
        <v>84</v>
      </c>
      <c r="E67" s="38" t="s">
        <v>38</v>
      </c>
      <c r="F67" s="5" t="s">
        <v>692</v>
      </c>
      <c r="G67" s="5" t="s">
        <v>692</v>
      </c>
      <c r="H67" s="5" t="s">
        <v>692</v>
      </c>
      <c r="I67" s="5" t="s">
        <v>692</v>
      </c>
      <c r="J67" s="53">
        <v>367104.79188799998</v>
      </c>
      <c r="K67" s="53">
        <v>0</v>
      </c>
      <c r="L67" s="53">
        <v>367104.79188799998</v>
      </c>
      <c r="M67" s="54">
        <v>312039.07310479996</v>
      </c>
      <c r="N67" s="54">
        <v>55065.71878320002</v>
      </c>
      <c r="O67" s="52">
        <v>0</v>
      </c>
      <c r="P67" s="4">
        <f t="shared" ref="P67:P130" si="1">L67/J67</f>
        <v>1</v>
      </c>
      <c r="Q67" s="71"/>
      <c r="R67" s="71"/>
    </row>
    <row r="68" spans="1:18" x14ac:dyDescent="0.3">
      <c r="A68" s="5" t="s">
        <v>7</v>
      </c>
      <c r="B68" s="5" t="s">
        <v>5</v>
      </c>
      <c r="C68" s="5">
        <v>613474</v>
      </c>
      <c r="D68" s="5" t="s">
        <v>84</v>
      </c>
      <c r="E68" s="34" t="s">
        <v>86</v>
      </c>
      <c r="F68" s="5" t="s">
        <v>692</v>
      </c>
      <c r="G68" s="5" t="s">
        <v>692</v>
      </c>
      <c r="H68" s="5" t="s">
        <v>692</v>
      </c>
      <c r="I68" s="5" t="s">
        <v>692</v>
      </c>
      <c r="J68" s="53">
        <v>168594.36815999998</v>
      </c>
      <c r="K68" s="53">
        <v>0</v>
      </c>
      <c r="L68" s="53">
        <v>168594.36815999998</v>
      </c>
      <c r="M68" s="54">
        <v>143305.212936</v>
      </c>
      <c r="N68" s="54">
        <v>25289.155223999987</v>
      </c>
      <c r="O68" s="52">
        <v>0</v>
      </c>
      <c r="P68" s="4">
        <f t="shared" si="1"/>
        <v>1</v>
      </c>
      <c r="Q68" s="71"/>
      <c r="R68" s="71"/>
    </row>
    <row r="69" spans="1:18" ht="29.55" x14ac:dyDescent="0.3">
      <c r="A69" s="5" t="s">
        <v>7</v>
      </c>
      <c r="B69" s="5" t="s">
        <v>5</v>
      </c>
      <c r="C69" s="5">
        <v>613474</v>
      </c>
      <c r="D69" s="5" t="s">
        <v>84</v>
      </c>
      <c r="E69" s="34" t="s">
        <v>87</v>
      </c>
      <c r="F69" s="5" t="s">
        <v>692</v>
      </c>
      <c r="G69" s="5" t="s">
        <v>692</v>
      </c>
      <c r="H69" s="5" t="s">
        <v>692</v>
      </c>
      <c r="I69" s="5" t="s">
        <v>692</v>
      </c>
      <c r="J69" s="53">
        <v>153913.629552</v>
      </c>
      <c r="K69" s="53">
        <v>0</v>
      </c>
      <c r="L69" s="53">
        <v>153913.629552</v>
      </c>
      <c r="M69" s="54">
        <v>130826.5851192</v>
      </c>
      <c r="N69" s="54">
        <v>23087.044432800001</v>
      </c>
      <c r="O69" s="52">
        <v>0</v>
      </c>
      <c r="P69" s="4">
        <f t="shared" si="1"/>
        <v>1</v>
      </c>
      <c r="Q69" s="71"/>
      <c r="R69" s="71"/>
    </row>
    <row r="70" spans="1:18" ht="29.55" x14ac:dyDescent="0.3">
      <c r="A70" s="5" t="s">
        <v>7</v>
      </c>
      <c r="B70" s="5" t="s">
        <v>5</v>
      </c>
      <c r="C70" s="5">
        <v>613474</v>
      </c>
      <c r="D70" s="5" t="s">
        <v>84</v>
      </c>
      <c r="E70" s="34" t="s">
        <v>88</v>
      </c>
      <c r="F70" s="5" t="s">
        <v>692</v>
      </c>
      <c r="G70" s="5" t="s">
        <v>692</v>
      </c>
      <c r="H70" s="5" t="s">
        <v>692</v>
      </c>
      <c r="I70" s="5" t="s">
        <v>692</v>
      </c>
      <c r="J70" s="53">
        <v>5614.1628000000001</v>
      </c>
      <c r="K70" s="53">
        <v>0</v>
      </c>
      <c r="L70" s="53">
        <v>5614.1628000000001</v>
      </c>
      <c r="M70" s="54">
        <v>4772.03838</v>
      </c>
      <c r="N70" s="54">
        <v>842.1244200000001</v>
      </c>
      <c r="O70" s="52">
        <v>0</v>
      </c>
      <c r="P70" s="4">
        <f t="shared" si="1"/>
        <v>1</v>
      </c>
      <c r="Q70" s="71"/>
      <c r="R70" s="71"/>
    </row>
    <row r="71" spans="1:18" x14ac:dyDescent="0.3">
      <c r="A71" s="5" t="s">
        <v>7</v>
      </c>
      <c r="B71" s="5" t="s">
        <v>5</v>
      </c>
      <c r="C71" s="5">
        <v>618082</v>
      </c>
      <c r="D71" s="5" t="s">
        <v>89</v>
      </c>
      <c r="E71" s="34" t="s">
        <v>90</v>
      </c>
      <c r="F71" s="5" t="s">
        <v>692</v>
      </c>
      <c r="G71" s="5" t="s">
        <v>692</v>
      </c>
      <c r="H71" s="5" t="s">
        <v>692</v>
      </c>
      <c r="I71" s="5" t="s">
        <v>692</v>
      </c>
      <c r="J71" s="53">
        <v>640489.75182799995</v>
      </c>
      <c r="K71" s="53">
        <v>0</v>
      </c>
      <c r="L71" s="53">
        <v>640489.75182799995</v>
      </c>
      <c r="M71" s="54">
        <v>544416.28905379993</v>
      </c>
      <c r="N71" s="54">
        <v>96073.462774200016</v>
      </c>
      <c r="O71" s="52">
        <v>0</v>
      </c>
      <c r="P71" s="4">
        <f t="shared" si="1"/>
        <v>1</v>
      </c>
      <c r="Q71" s="71"/>
      <c r="R71" s="71"/>
    </row>
    <row r="72" spans="1:18" ht="29.55" x14ac:dyDescent="0.3">
      <c r="A72" s="5" t="s">
        <v>7</v>
      </c>
      <c r="B72" s="5" t="s">
        <v>5</v>
      </c>
      <c r="C72" s="5">
        <v>475205</v>
      </c>
      <c r="D72" s="5" t="s">
        <v>91</v>
      </c>
      <c r="E72" s="34" t="s">
        <v>92</v>
      </c>
      <c r="F72" s="5" t="s">
        <v>692</v>
      </c>
      <c r="G72" s="5">
        <v>3286</v>
      </c>
      <c r="H72" s="5" t="s">
        <v>695</v>
      </c>
      <c r="I72" s="5" t="s">
        <v>692</v>
      </c>
      <c r="J72" s="53">
        <v>207916.59999999998</v>
      </c>
      <c r="K72" s="53">
        <v>111306.45</v>
      </c>
      <c r="L72" s="53">
        <v>96610.15</v>
      </c>
      <c r="M72" s="54">
        <v>96610.15</v>
      </c>
      <c r="N72" s="55">
        <v>0</v>
      </c>
      <c r="O72" s="52">
        <v>0</v>
      </c>
      <c r="P72" s="4">
        <f t="shared" si="1"/>
        <v>0.46465818506074075</v>
      </c>
      <c r="Q72" s="71"/>
      <c r="R72" s="71"/>
    </row>
    <row r="73" spans="1:18" x14ac:dyDescent="0.3">
      <c r="A73" s="5" t="s">
        <v>7</v>
      </c>
      <c r="B73" s="5" t="s">
        <v>5</v>
      </c>
      <c r="C73" s="5">
        <v>475205</v>
      </c>
      <c r="D73" s="5" t="s">
        <v>91</v>
      </c>
      <c r="E73" s="34" t="s">
        <v>93</v>
      </c>
      <c r="F73" s="5" t="s">
        <v>692</v>
      </c>
      <c r="G73" s="5">
        <v>3286</v>
      </c>
      <c r="H73" s="5">
        <v>619098</v>
      </c>
      <c r="I73" s="5" t="s">
        <v>692</v>
      </c>
      <c r="J73" s="53">
        <v>39975</v>
      </c>
      <c r="K73" s="53">
        <v>22761.764999999999</v>
      </c>
      <c r="L73" s="53">
        <v>17213.235000000001</v>
      </c>
      <c r="M73" s="54">
        <v>17213.235000000001</v>
      </c>
      <c r="N73" s="55">
        <v>0</v>
      </c>
      <c r="O73" s="52">
        <v>0</v>
      </c>
      <c r="P73" s="4">
        <f t="shared" si="1"/>
        <v>0.43060000000000004</v>
      </c>
      <c r="Q73" s="71"/>
      <c r="R73" s="71"/>
    </row>
    <row r="74" spans="1:18" x14ac:dyDescent="0.3">
      <c r="A74" s="5" t="s">
        <v>7</v>
      </c>
      <c r="B74" s="5" t="s">
        <v>5</v>
      </c>
      <c r="C74" s="5">
        <v>475205</v>
      </c>
      <c r="D74" s="5" t="s">
        <v>91</v>
      </c>
      <c r="E74" s="34" t="s">
        <v>94</v>
      </c>
      <c r="F74" s="5" t="s">
        <v>692</v>
      </c>
      <c r="G74" s="5">
        <v>3286</v>
      </c>
      <c r="H74" s="5">
        <v>619097</v>
      </c>
      <c r="I74" s="5" t="s">
        <v>692</v>
      </c>
      <c r="J74" s="53">
        <v>131999.67999999999</v>
      </c>
      <c r="K74" s="53">
        <v>75160.617792000005</v>
      </c>
      <c r="L74" s="53">
        <v>56839.062207999996</v>
      </c>
      <c r="M74" s="54">
        <v>56839.062207999996</v>
      </c>
      <c r="N74" s="55">
        <v>0</v>
      </c>
      <c r="O74" s="52">
        <v>0</v>
      </c>
      <c r="P74" s="4">
        <f t="shared" si="1"/>
        <v>0.43059999999999998</v>
      </c>
      <c r="Q74" s="71"/>
      <c r="R74" s="71"/>
    </row>
    <row r="75" spans="1:18" ht="29.55" x14ac:dyDescent="0.3">
      <c r="A75" s="5" t="s">
        <v>7</v>
      </c>
      <c r="B75" s="5" t="s">
        <v>5</v>
      </c>
      <c r="C75" s="5">
        <v>475205</v>
      </c>
      <c r="D75" s="5" t="s">
        <v>91</v>
      </c>
      <c r="E75" s="34" t="s">
        <v>95</v>
      </c>
      <c r="F75" s="5" t="s">
        <v>692</v>
      </c>
      <c r="G75" s="5" t="s">
        <v>692</v>
      </c>
      <c r="H75" s="5" t="s">
        <v>692</v>
      </c>
      <c r="I75" s="5" t="s">
        <v>692</v>
      </c>
      <c r="J75" s="53">
        <v>16749.8</v>
      </c>
      <c r="K75" s="53">
        <v>0</v>
      </c>
      <c r="L75" s="53">
        <v>16749.8</v>
      </c>
      <c r="M75" s="54">
        <v>14237.329999999998</v>
      </c>
      <c r="N75" s="54">
        <v>2512.4700000000012</v>
      </c>
      <c r="O75" s="52">
        <v>0</v>
      </c>
      <c r="P75" s="4">
        <f t="shared" si="1"/>
        <v>1</v>
      </c>
      <c r="Q75" s="71"/>
      <c r="R75" s="71"/>
    </row>
    <row r="76" spans="1:18" x14ac:dyDescent="0.3">
      <c r="A76" s="5" t="s">
        <v>7</v>
      </c>
      <c r="B76" s="5" t="s">
        <v>5</v>
      </c>
      <c r="C76" s="5">
        <v>640221</v>
      </c>
      <c r="D76" s="5" t="s">
        <v>96</v>
      </c>
      <c r="E76" s="34" t="s">
        <v>97</v>
      </c>
      <c r="F76" s="5" t="s">
        <v>692</v>
      </c>
      <c r="G76" s="5">
        <v>3286</v>
      </c>
      <c r="H76" s="5">
        <v>619094</v>
      </c>
      <c r="I76" s="5" t="s">
        <v>692</v>
      </c>
      <c r="J76" s="53">
        <v>220342.56</v>
      </c>
      <c r="K76" s="53">
        <v>125463.05366400001</v>
      </c>
      <c r="L76" s="53">
        <v>94879.506335999991</v>
      </c>
      <c r="M76" s="54">
        <v>94879.506335999991</v>
      </c>
      <c r="N76" s="55">
        <v>0</v>
      </c>
      <c r="O76" s="52">
        <v>0</v>
      </c>
      <c r="P76" s="4">
        <f t="shared" si="1"/>
        <v>0.43059999999999998</v>
      </c>
      <c r="Q76" s="71"/>
      <c r="R76" s="71"/>
    </row>
    <row r="77" spans="1:18" x14ac:dyDescent="0.3">
      <c r="A77" s="5" t="s">
        <v>7</v>
      </c>
      <c r="B77" s="5" t="s">
        <v>5</v>
      </c>
      <c r="C77" s="5">
        <v>640221</v>
      </c>
      <c r="D77" s="5" t="s">
        <v>96</v>
      </c>
      <c r="E77" s="34" t="s">
        <v>98</v>
      </c>
      <c r="F77" s="5" t="s">
        <v>692</v>
      </c>
      <c r="G77" s="5" t="s">
        <v>692</v>
      </c>
      <c r="H77" s="5" t="s">
        <v>692</v>
      </c>
      <c r="I77" s="5" t="s">
        <v>692</v>
      </c>
      <c r="J77" s="53">
        <v>313757.55119999999</v>
      </c>
      <c r="K77" s="53">
        <v>0</v>
      </c>
      <c r="L77" s="53">
        <v>313757.55119999999</v>
      </c>
      <c r="M77" s="54">
        <v>266693.91852000001</v>
      </c>
      <c r="N77" s="54">
        <v>47063.632679999981</v>
      </c>
      <c r="O77" s="52">
        <v>0</v>
      </c>
      <c r="P77" s="4">
        <f t="shared" si="1"/>
        <v>1</v>
      </c>
      <c r="Q77" s="71"/>
      <c r="R77" s="71"/>
    </row>
    <row r="78" spans="1:18" x14ac:dyDescent="0.3">
      <c r="A78" s="5" t="s">
        <v>7</v>
      </c>
      <c r="B78" s="5" t="s">
        <v>5</v>
      </c>
      <c r="C78" s="5">
        <v>640221</v>
      </c>
      <c r="D78" s="5" t="s">
        <v>96</v>
      </c>
      <c r="E78" s="34" t="s">
        <v>99</v>
      </c>
      <c r="F78" s="18" t="s">
        <v>692</v>
      </c>
      <c r="G78" s="18">
        <v>3286</v>
      </c>
      <c r="H78" s="18">
        <v>619091</v>
      </c>
      <c r="I78" s="18" t="s">
        <v>692</v>
      </c>
      <c r="J78" s="53">
        <v>139366.66</v>
      </c>
      <c r="K78" s="53">
        <v>37347.478407999995</v>
      </c>
      <c r="L78" s="53">
        <v>102019.18159200001</v>
      </c>
      <c r="M78" s="54">
        <v>102019.18159200001</v>
      </c>
      <c r="N78" s="55">
        <v>0</v>
      </c>
      <c r="O78" s="52">
        <v>0</v>
      </c>
      <c r="P78" s="4">
        <f t="shared" si="1"/>
        <v>0.73201999382061678</v>
      </c>
      <c r="Q78" s="71"/>
      <c r="R78" s="71"/>
    </row>
    <row r="79" spans="1:18" ht="29.55" x14ac:dyDescent="0.3">
      <c r="A79" s="8" t="s">
        <v>100</v>
      </c>
      <c r="B79" s="9" t="s">
        <v>5</v>
      </c>
      <c r="C79" s="5">
        <v>622330</v>
      </c>
      <c r="D79" s="9" t="s">
        <v>43</v>
      </c>
      <c r="E79" s="38" t="s">
        <v>44</v>
      </c>
      <c r="F79" s="9">
        <v>13008</v>
      </c>
      <c r="G79" s="9">
        <v>16755</v>
      </c>
      <c r="H79" s="9">
        <v>4901695</v>
      </c>
      <c r="I79" s="9" t="s">
        <v>692</v>
      </c>
      <c r="J79" s="53">
        <v>156470.56400000001</v>
      </c>
      <c r="K79" s="57">
        <v>23470.583999999999</v>
      </c>
      <c r="L79" s="57">
        <v>132999.98000000001</v>
      </c>
      <c r="M79" s="58">
        <v>132999.98000000001</v>
      </c>
      <c r="N79" s="55">
        <v>0</v>
      </c>
      <c r="O79" s="52">
        <v>0</v>
      </c>
      <c r="P79" s="4">
        <f t="shared" si="1"/>
        <v>0.85000000383458707</v>
      </c>
      <c r="Q79" s="71"/>
      <c r="R79" s="71"/>
    </row>
    <row r="80" spans="1:18" x14ac:dyDescent="0.3">
      <c r="A80" s="8" t="s">
        <v>100</v>
      </c>
      <c r="B80" s="9" t="s">
        <v>5</v>
      </c>
      <c r="C80" s="5">
        <v>637541</v>
      </c>
      <c r="D80" s="9" t="s">
        <v>101</v>
      </c>
      <c r="E80" s="36" t="s">
        <v>102</v>
      </c>
      <c r="F80" s="18">
        <v>13008</v>
      </c>
      <c r="G80" s="18" t="s">
        <v>692</v>
      </c>
      <c r="H80" s="18" t="s">
        <v>692</v>
      </c>
      <c r="I80" s="18" t="s">
        <v>692</v>
      </c>
      <c r="J80" s="53">
        <v>20600</v>
      </c>
      <c r="K80" s="57">
        <v>0</v>
      </c>
      <c r="L80" s="57">
        <v>20600</v>
      </c>
      <c r="M80" s="58">
        <v>17510</v>
      </c>
      <c r="N80" s="58">
        <v>3090</v>
      </c>
      <c r="O80" s="52">
        <v>0</v>
      </c>
      <c r="P80" s="4">
        <f t="shared" si="1"/>
        <v>1</v>
      </c>
      <c r="Q80" s="71"/>
      <c r="R80" s="71"/>
    </row>
    <row r="81" spans="1:18" x14ac:dyDescent="0.3">
      <c r="A81" s="8" t="s">
        <v>100</v>
      </c>
      <c r="B81" s="9" t="s">
        <v>5</v>
      </c>
      <c r="C81" s="5">
        <v>637541</v>
      </c>
      <c r="D81" s="9" t="s">
        <v>101</v>
      </c>
      <c r="E81" s="38" t="s">
        <v>71</v>
      </c>
      <c r="F81" s="18">
        <v>13008</v>
      </c>
      <c r="G81" s="18">
        <v>16755</v>
      </c>
      <c r="H81" s="18">
        <v>4901982</v>
      </c>
      <c r="I81" s="18" t="s">
        <v>692</v>
      </c>
      <c r="J81" s="53">
        <v>120000</v>
      </c>
      <c r="K81" s="57">
        <v>18000</v>
      </c>
      <c r="L81" s="57">
        <v>102000</v>
      </c>
      <c r="M81" s="58">
        <v>102000</v>
      </c>
      <c r="N81" s="55">
        <v>0</v>
      </c>
      <c r="O81" s="52">
        <v>0</v>
      </c>
      <c r="P81" s="4">
        <f t="shared" si="1"/>
        <v>0.85</v>
      </c>
      <c r="Q81" s="71"/>
      <c r="R81" s="71"/>
    </row>
    <row r="82" spans="1:18" x14ac:dyDescent="0.3">
      <c r="A82" s="8" t="s">
        <v>100</v>
      </c>
      <c r="B82" s="9" t="s">
        <v>5</v>
      </c>
      <c r="C82" s="5">
        <v>637541</v>
      </c>
      <c r="D82" s="9" t="s">
        <v>101</v>
      </c>
      <c r="E82" s="38" t="s">
        <v>74</v>
      </c>
      <c r="F82" s="9">
        <v>13008</v>
      </c>
      <c r="G82" s="9">
        <v>16755</v>
      </c>
      <c r="H82" s="9">
        <v>4902127</v>
      </c>
      <c r="I82" s="9" t="s">
        <v>692</v>
      </c>
      <c r="J82" s="53">
        <v>29520</v>
      </c>
      <c r="K82" s="57">
        <v>4428</v>
      </c>
      <c r="L82" s="57">
        <v>25092</v>
      </c>
      <c r="M82" s="58">
        <v>25092</v>
      </c>
      <c r="N82" s="55">
        <v>0</v>
      </c>
      <c r="O82" s="52">
        <v>0</v>
      </c>
      <c r="P82" s="4">
        <f t="shared" si="1"/>
        <v>0.85</v>
      </c>
      <c r="Q82" s="71"/>
      <c r="R82" s="71"/>
    </row>
    <row r="83" spans="1:18" x14ac:dyDescent="0.3">
      <c r="A83" s="8" t="s">
        <v>100</v>
      </c>
      <c r="B83" s="9" t="s">
        <v>5</v>
      </c>
      <c r="C83" s="5">
        <v>546749</v>
      </c>
      <c r="D83" s="9" t="s">
        <v>77</v>
      </c>
      <c r="E83" s="36" t="s">
        <v>104</v>
      </c>
      <c r="F83" s="18">
        <v>13008</v>
      </c>
      <c r="G83" s="18" t="s">
        <v>692</v>
      </c>
      <c r="H83" s="18" t="s">
        <v>692</v>
      </c>
      <c r="I83" s="18" t="s">
        <v>692</v>
      </c>
      <c r="J83" s="53">
        <v>34324.81</v>
      </c>
      <c r="K83" s="57">
        <v>0</v>
      </c>
      <c r="L83" s="57">
        <v>34324.81</v>
      </c>
      <c r="M83" s="58">
        <v>29176.088499999998</v>
      </c>
      <c r="N83" s="58">
        <v>5148.7214999999997</v>
      </c>
      <c r="O83" s="52">
        <v>0</v>
      </c>
      <c r="P83" s="4">
        <f t="shared" si="1"/>
        <v>1</v>
      </c>
      <c r="Q83" s="71"/>
      <c r="R83" s="71"/>
    </row>
    <row r="84" spans="1:18" x14ac:dyDescent="0.3">
      <c r="A84" s="8" t="s">
        <v>100</v>
      </c>
      <c r="B84" s="9" t="s">
        <v>5</v>
      </c>
      <c r="C84" s="5">
        <v>546749</v>
      </c>
      <c r="D84" s="9" t="s">
        <v>77</v>
      </c>
      <c r="E84" s="38" t="s">
        <v>79</v>
      </c>
      <c r="F84" s="18">
        <v>13008</v>
      </c>
      <c r="G84" s="18">
        <v>16755</v>
      </c>
      <c r="H84" s="18">
        <v>4902308</v>
      </c>
      <c r="I84" s="18">
        <v>951705</v>
      </c>
      <c r="J84" s="53">
        <v>62571.51</v>
      </c>
      <c r="K84" s="57">
        <v>9385.6900000000023</v>
      </c>
      <c r="L84" s="57">
        <v>53185.82</v>
      </c>
      <c r="M84" s="58">
        <v>53185.82</v>
      </c>
      <c r="N84" s="55">
        <v>0</v>
      </c>
      <c r="O84" s="52">
        <v>0</v>
      </c>
      <c r="P84" s="4">
        <f t="shared" si="1"/>
        <v>0.85000058333257422</v>
      </c>
      <c r="Q84" s="71"/>
      <c r="R84" s="71"/>
    </row>
    <row r="85" spans="1:18" x14ac:dyDescent="0.3">
      <c r="A85" s="8" t="s">
        <v>100</v>
      </c>
      <c r="B85" s="9" t="s">
        <v>5</v>
      </c>
      <c r="C85" s="5">
        <v>613474</v>
      </c>
      <c r="D85" s="9" t="s">
        <v>84</v>
      </c>
      <c r="E85" s="38" t="s">
        <v>85</v>
      </c>
      <c r="F85" s="9">
        <v>13008</v>
      </c>
      <c r="G85" s="9" t="s">
        <v>692</v>
      </c>
      <c r="H85" s="9" t="s">
        <v>692</v>
      </c>
      <c r="I85" s="9" t="s">
        <v>692</v>
      </c>
      <c r="J85" s="53">
        <v>149409</v>
      </c>
      <c r="K85" s="57">
        <v>0</v>
      </c>
      <c r="L85" s="57">
        <v>149409</v>
      </c>
      <c r="M85" s="58">
        <v>126997.65</v>
      </c>
      <c r="N85" s="58">
        <v>22411.350000000006</v>
      </c>
      <c r="O85" s="52">
        <v>0</v>
      </c>
      <c r="P85" s="4">
        <f t="shared" si="1"/>
        <v>1</v>
      </c>
      <c r="Q85" s="71"/>
      <c r="R85" s="71"/>
    </row>
    <row r="86" spans="1:18" x14ac:dyDescent="0.3">
      <c r="A86" s="8" t="s">
        <v>100</v>
      </c>
      <c r="B86" s="9" t="s">
        <v>5</v>
      </c>
      <c r="C86" s="5">
        <v>566950</v>
      </c>
      <c r="D86" s="5" t="s">
        <v>58</v>
      </c>
      <c r="E86" s="36" t="s">
        <v>59</v>
      </c>
      <c r="F86" s="18">
        <v>13008</v>
      </c>
      <c r="G86" s="18" t="s">
        <v>692</v>
      </c>
      <c r="H86" s="18" t="s">
        <v>692</v>
      </c>
      <c r="I86" s="18" t="s">
        <v>692</v>
      </c>
      <c r="J86" s="53">
        <v>37816.21</v>
      </c>
      <c r="K86" s="57">
        <v>0</v>
      </c>
      <c r="L86" s="57">
        <v>37816.21</v>
      </c>
      <c r="M86" s="58">
        <v>32143.778499999997</v>
      </c>
      <c r="N86" s="58">
        <v>5672.4315000000024</v>
      </c>
      <c r="O86" s="52">
        <v>0</v>
      </c>
      <c r="P86" s="4">
        <f t="shared" si="1"/>
        <v>1</v>
      </c>
      <c r="Q86" s="71"/>
      <c r="R86" s="71"/>
    </row>
    <row r="87" spans="1:18" ht="29.55" x14ac:dyDescent="0.3">
      <c r="A87" s="8" t="s">
        <v>100</v>
      </c>
      <c r="B87" s="9" t="s">
        <v>5</v>
      </c>
      <c r="C87" s="5">
        <v>566950</v>
      </c>
      <c r="D87" s="5" t="s">
        <v>58</v>
      </c>
      <c r="E87" s="38" t="s">
        <v>65</v>
      </c>
      <c r="F87" s="9">
        <v>13008</v>
      </c>
      <c r="G87" s="9">
        <v>16755</v>
      </c>
      <c r="H87" s="9">
        <v>4902441</v>
      </c>
      <c r="I87" s="9">
        <v>1075424</v>
      </c>
      <c r="J87" s="53">
        <v>35966.009999999995</v>
      </c>
      <c r="K87" s="57">
        <v>5394.901499999999</v>
      </c>
      <c r="L87" s="57">
        <v>30571.108499999995</v>
      </c>
      <c r="M87" s="58">
        <v>30571.108499999995</v>
      </c>
      <c r="N87" s="55">
        <v>0</v>
      </c>
      <c r="O87" s="52">
        <v>0</v>
      </c>
      <c r="P87" s="4">
        <f t="shared" si="1"/>
        <v>0.85</v>
      </c>
      <c r="Q87" s="71"/>
      <c r="R87" s="71"/>
    </row>
    <row r="88" spans="1:18" x14ac:dyDescent="0.3">
      <c r="A88" s="8" t="s">
        <v>100</v>
      </c>
      <c r="B88" s="9" t="s">
        <v>5</v>
      </c>
      <c r="C88" s="5">
        <v>566950</v>
      </c>
      <c r="D88" s="5" t="s">
        <v>58</v>
      </c>
      <c r="E88" s="36" t="s">
        <v>106</v>
      </c>
      <c r="F88" s="9">
        <v>13008</v>
      </c>
      <c r="G88" s="9">
        <v>16755</v>
      </c>
      <c r="H88" s="9">
        <v>4902623</v>
      </c>
      <c r="I88" s="9">
        <v>1075425</v>
      </c>
      <c r="J88" s="53">
        <v>70421.59</v>
      </c>
      <c r="K88" s="58">
        <v>10563.238499999999</v>
      </c>
      <c r="L88" s="58">
        <v>59858.351499999997</v>
      </c>
      <c r="M88" s="58">
        <v>59858.351499999997</v>
      </c>
      <c r="N88" s="55">
        <v>0</v>
      </c>
      <c r="O88" s="52">
        <v>0</v>
      </c>
      <c r="P88" s="4">
        <f t="shared" si="1"/>
        <v>0.85</v>
      </c>
      <c r="Q88" s="71"/>
      <c r="R88" s="71"/>
    </row>
    <row r="89" spans="1:18" x14ac:dyDescent="0.3">
      <c r="A89" s="9" t="s">
        <v>100</v>
      </c>
      <c r="B89" s="9" t="s">
        <v>5</v>
      </c>
      <c r="C89" s="9">
        <v>475205</v>
      </c>
      <c r="D89" s="9" t="s">
        <v>91</v>
      </c>
      <c r="E89" s="36" t="s">
        <v>107</v>
      </c>
      <c r="F89" s="9">
        <v>13008</v>
      </c>
      <c r="G89" s="9">
        <v>16755</v>
      </c>
      <c r="H89" s="9">
        <v>7884245</v>
      </c>
      <c r="I89" s="9" t="s">
        <v>692</v>
      </c>
      <c r="J89" s="53">
        <v>107880</v>
      </c>
      <c r="K89" s="57">
        <v>16182</v>
      </c>
      <c r="L89" s="57">
        <v>91698</v>
      </c>
      <c r="M89" s="58">
        <v>91698</v>
      </c>
      <c r="N89" s="55">
        <v>0</v>
      </c>
      <c r="O89" s="52">
        <v>0</v>
      </c>
      <c r="P89" s="4">
        <f t="shared" si="1"/>
        <v>0.85</v>
      </c>
      <c r="Q89" s="71"/>
      <c r="R89" s="71"/>
    </row>
    <row r="90" spans="1:18" x14ac:dyDescent="0.3">
      <c r="A90" s="9" t="s">
        <v>100</v>
      </c>
      <c r="B90" s="9" t="s">
        <v>5</v>
      </c>
      <c r="C90" s="9">
        <v>475205</v>
      </c>
      <c r="D90" s="9" t="s">
        <v>91</v>
      </c>
      <c r="E90" s="36" t="s">
        <v>94</v>
      </c>
      <c r="F90" s="9">
        <v>13008</v>
      </c>
      <c r="G90" s="9">
        <v>16755</v>
      </c>
      <c r="H90" s="9">
        <v>7884819</v>
      </c>
      <c r="I90" s="9" t="s">
        <v>692</v>
      </c>
      <c r="J90" s="53">
        <v>68300</v>
      </c>
      <c r="K90" s="57">
        <v>10245</v>
      </c>
      <c r="L90" s="57">
        <v>58055</v>
      </c>
      <c r="M90" s="58">
        <v>58055</v>
      </c>
      <c r="N90" s="55">
        <v>0</v>
      </c>
      <c r="O90" s="52">
        <v>0</v>
      </c>
      <c r="P90" s="4">
        <f t="shared" si="1"/>
        <v>0.85</v>
      </c>
      <c r="Q90" s="71"/>
      <c r="R90" s="71"/>
    </row>
    <row r="91" spans="1:18" x14ac:dyDescent="0.3">
      <c r="A91" s="9" t="s">
        <v>109</v>
      </c>
      <c r="B91" s="9" t="s">
        <v>5</v>
      </c>
      <c r="C91" s="9">
        <v>2692650</v>
      </c>
      <c r="D91" s="9" t="s">
        <v>108</v>
      </c>
      <c r="E91" s="36" t="s">
        <v>110</v>
      </c>
      <c r="F91" s="9">
        <v>13008</v>
      </c>
      <c r="G91" s="9" t="s">
        <v>692</v>
      </c>
      <c r="H91" s="9">
        <v>5816373</v>
      </c>
      <c r="I91" s="9" t="s">
        <v>692</v>
      </c>
      <c r="J91" s="53">
        <v>80565</v>
      </c>
      <c r="K91" s="57">
        <v>12084.75</v>
      </c>
      <c r="L91" s="57">
        <v>68480.25</v>
      </c>
      <c r="M91" s="58">
        <v>68480.25</v>
      </c>
      <c r="N91" s="55">
        <v>0</v>
      </c>
      <c r="O91" s="52">
        <v>0</v>
      </c>
      <c r="P91" s="4">
        <f t="shared" si="1"/>
        <v>0.85</v>
      </c>
      <c r="Q91" s="71"/>
      <c r="R91" s="71"/>
    </row>
    <row r="92" spans="1:18" x14ac:dyDescent="0.3">
      <c r="A92" s="8" t="s">
        <v>109</v>
      </c>
      <c r="B92" s="9" t="s">
        <v>5</v>
      </c>
      <c r="C92" s="9">
        <v>2692650</v>
      </c>
      <c r="D92" s="9" t="s">
        <v>108</v>
      </c>
      <c r="E92" s="36" t="s">
        <v>111</v>
      </c>
      <c r="F92" s="9">
        <v>13008</v>
      </c>
      <c r="G92" s="9" t="s">
        <v>692</v>
      </c>
      <c r="H92" s="9">
        <v>5816392</v>
      </c>
      <c r="I92" s="9" t="s">
        <v>692</v>
      </c>
      <c r="J92" s="53">
        <v>165189</v>
      </c>
      <c r="K92" s="57">
        <v>24778.35</v>
      </c>
      <c r="L92" s="57">
        <v>140410.65</v>
      </c>
      <c r="M92" s="58">
        <v>140410.65</v>
      </c>
      <c r="N92" s="55">
        <v>0</v>
      </c>
      <c r="O92" s="52">
        <v>0</v>
      </c>
      <c r="P92" s="4">
        <f t="shared" si="1"/>
        <v>0.85</v>
      </c>
      <c r="Q92" s="71"/>
      <c r="R92" s="71"/>
    </row>
    <row r="93" spans="1:18" x14ac:dyDescent="0.3">
      <c r="A93" s="8" t="s">
        <v>109</v>
      </c>
      <c r="B93" s="9" t="s">
        <v>5</v>
      </c>
      <c r="C93" s="9">
        <v>2692650</v>
      </c>
      <c r="D93" s="9" t="s">
        <v>108</v>
      </c>
      <c r="E93" s="36" t="s">
        <v>112</v>
      </c>
      <c r="F93" s="9">
        <v>13008</v>
      </c>
      <c r="G93" s="9" t="s">
        <v>692</v>
      </c>
      <c r="H93" s="9">
        <v>5816418</v>
      </c>
      <c r="I93" s="9" t="s">
        <v>692</v>
      </c>
      <c r="J93" s="53">
        <v>81180</v>
      </c>
      <c r="K93" s="57">
        <v>12177</v>
      </c>
      <c r="L93" s="57">
        <v>69003</v>
      </c>
      <c r="M93" s="58">
        <v>69003</v>
      </c>
      <c r="N93" s="55">
        <v>0</v>
      </c>
      <c r="O93" s="52">
        <v>0</v>
      </c>
      <c r="P93" s="4">
        <f t="shared" si="1"/>
        <v>0.85</v>
      </c>
      <c r="Q93" s="71"/>
      <c r="R93" s="71"/>
    </row>
    <row r="94" spans="1:18" x14ac:dyDescent="0.3">
      <c r="A94" s="8" t="s">
        <v>109</v>
      </c>
      <c r="B94" s="9" t="s">
        <v>5</v>
      </c>
      <c r="C94" s="9">
        <v>2692650</v>
      </c>
      <c r="D94" s="9" t="s">
        <v>108</v>
      </c>
      <c r="E94" s="36" t="s">
        <v>113</v>
      </c>
      <c r="F94" s="9">
        <v>13008</v>
      </c>
      <c r="G94" s="9" t="s">
        <v>692</v>
      </c>
      <c r="H94" s="9">
        <v>5816519</v>
      </c>
      <c r="I94" s="9" t="s">
        <v>692</v>
      </c>
      <c r="J94" s="53">
        <v>84624</v>
      </c>
      <c r="K94" s="57">
        <v>12693.6</v>
      </c>
      <c r="L94" s="57">
        <v>71930.399999999994</v>
      </c>
      <c r="M94" s="58">
        <v>71930.399999999994</v>
      </c>
      <c r="N94" s="55">
        <v>0</v>
      </c>
      <c r="O94" s="52">
        <v>0</v>
      </c>
      <c r="P94" s="4">
        <f t="shared" si="1"/>
        <v>0.85</v>
      </c>
      <c r="Q94" s="71"/>
      <c r="R94" s="71"/>
    </row>
    <row r="95" spans="1:18" x14ac:dyDescent="0.3">
      <c r="A95" s="8" t="s">
        <v>109</v>
      </c>
      <c r="B95" s="9" t="s">
        <v>5</v>
      </c>
      <c r="C95" s="9">
        <v>3063485</v>
      </c>
      <c r="D95" s="9" t="s">
        <v>114</v>
      </c>
      <c r="E95" s="36" t="s">
        <v>115</v>
      </c>
      <c r="F95" s="9">
        <v>13008</v>
      </c>
      <c r="G95" s="9" t="s">
        <v>692</v>
      </c>
      <c r="H95" s="9">
        <v>8133917</v>
      </c>
      <c r="I95" s="9" t="s">
        <v>692</v>
      </c>
      <c r="J95" s="53">
        <v>175850</v>
      </c>
      <c r="K95" s="57">
        <v>26377.5</v>
      </c>
      <c r="L95" s="57">
        <v>149472.5</v>
      </c>
      <c r="M95" s="58">
        <v>149472.5</v>
      </c>
      <c r="N95" s="55">
        <v>0</v>
      </c>
      <c r="O95" s="52">
        <v>0</v>
      </c>
      <c r="P95" s="4">
        <f t="shared" si="1"/>
        <v>0.85</v>
      </c>
      <c r="Q95" s="71"/>
      <c r="R95" s="71"/>
    </row>
    <row r="96" spans="1:18" x14ac:dyDescent="0.3">
      <c r="A96" s="8" t="s">
        <v>109</v>
      </c>
      <c r="B96" s="9" t="s">
        <v>5</v>
      </c>
      <c r="C96" s="9">
        <v>3063485</v>
      </c>
      <c r="D96" s="9" t="s">
        <v>114</v>
      </c>
      <c r="E96" s="36" t="s">
        <v>116</v>
      </c>
      <c r="F96" s="9">
        <v>13008</v>
      </c>
      <c r="G96" s="9" t="s">
        <v>692</v>
      </c>
      <c r="H96" s="9">
        <v>8134123</v>
      </c>
      <c r="I96" s="9" t="s">
        <v>692</v>
      </c>
      <c r="J96" s="53">
        <v>169650.88</v>
      </c>
      <c r="K96" s="57">
        <v>25447.63</v>
      </c>
      <c r="L96" s="57">
        <v>144203.25</v>
      </c>
      <c r="M96" s="58">
        <v>144203.25</v>
      </c>
      <c r="N96" s="55">
        <v>0</v>
      </c>
      <c r="O96" s="52">
        <v>0</v>
      </c>
      <c r="P96" s="4">
        <f t="shared" si="1"/>
        <v>0.85000001178891615</v>
      </c>
      <c r="Q96" s="71"/>
      <c r="R96" s="71"/>
    </row>
    <row r="97" spans="1:18" x14ac:dyDescent="0.3">
      <c r="A97" s="8" t="s">
        <v>109</v>
      </c>
      <c r="B97" s="9" t="s">
        <v>5</v>
      </c>
      <c r="C97" s="9">
        <v>3147504</v>
      </c>
      <c r="D97" s="9" t="s">
        <v>117</v>
      </c>
      <c r="E97" s="36" t="s">
        <v>118</v>
      </c>
      <c r="F97" s="9">
        <v>13008</v>
      </c>
      <c r="G97" s="9" t="s">
        <v>692</v>
      </c>
      <c r="H97" s="9">
        <v>8135312</v>
      </c>
      <c r="I97" s="9" t="s">
        <v>692</v>
      </c>
      <c r="J97" s="53">
        <v>175650</v>
      </c>
      <c r="K97" s="57">
        <v>26347.5</v>
      </c>
      <c r="L97" s="57">
        <v>149302.5</v>
      </c>
      <c r="M97" s="58">
        <v>149302.5</v>
      </c>
      <c r="N97" s="55">
        <v>0</v>
      </c>
      <c r="O97" s="52">
        <v>0</v>
      </c>
      <c r="P97" s="4">
        <f t="shared" si="1"/>
        <v>0.85</v>
      </c>
      <c r="Q97" s="71"/>
      <c r="R97" s="71"/>
    </row>
    <row r="98" spans="1:18" ht="29.55" x14ac:dyDescent="0.3">
      <c r="A98" s="8" t="s">
        <v>109</v>
      </c>
      <c r="B98" s="9" t="s">
        <v>5</v>
      </c>
      <c r="C98" s="9">
        <v>3147504</v>
      </c>
      <c r="D98" s="9" t="s">
        <v>117</v>
      </c>
      <c r="E98" s="36" t="s">
        <v>119</v>
      </c>
      <c r="F98" s="9">
        <v>13008</v>
      </c>
      <c r="G98" s="9" t="s">
        <v>692</v>
      </c>
      <c r="H98" s="9">
        <v>8135335</v>
      </c>
      <c r="I98" s="9" t="s">
        <v>692</v>
      </c>
      <c r="J98" s="53">
        <v>75214.490000000005</v>
      </c>
      <c r="K98" s="57">
        <v>11282.17</v>
      </c>
      <c r="L98" s="57">
        <v>63932.32</v>
      </c>
      <c r="M98" s="58">
        <v>63932.32</v>
      </c>
      <c r="N98" s="55">
        <v>0</v>
      </c>
      <c r="O98" s="52">
        <v>0</v>
      </c>
      <c r="P98" s="4">
        <f t="shared" si="1"/>
        <v>0.85000004653358674</v>
      </c>
      <c r="Q98" s="71"/>
      <c r="R98" s="71"/>
    </row>
    <row r="99" spans="1:18" x14ac:dyDescent="0.3">
      <c r="A99" s="8" t="s">
        <v>109</v>
      </c>
      <c r="B99" s="9" t="s">
        <v>5</v>
      </c>
      <c r="C99" s="9">
        <v>3147992</v>
      </c>
      <c r="D99" s="9" t="s">
        <v>120</v>
      </c>
      <c r="E99" s="36" t="s">
        <v>121</v>
      </c>
      <c r="F99" s="5">
        <v>13008</v>
      </c>
      <c r="G99" s="5" t="s">
        <v>692</v>
      </c>
      <c r="H99" s="5">
        <v>8217200</v>
      </c>
      <c r="I99" s="5" t="s">
        <v>692</v>
      </c>
      <c r="J99" s="53">
        <v>39360</v>
      </c>
      <c r="K99" s="57">
        <v>5904</v>
      </c>
      <c r="L99" s="57">
        <v>33456</v>
      </c>
      <c r="M99" s="58">
        <v>33456</v>
      </c>
      <c r="N99" s="55">
        <v>0</v>
      </c>
      <c r="O99" s="52">
        <v>0</v>
      </c>
      <c r="P99" s="4">
        <f t="shared" si="1"/>
        <v>0.85</v>
      </c>
      <c r="Q99" s="71"/>
      <c r="R99" s="71"/>
    </row>
    <row r="100" spans="1:18" ht="29.55" x14ac:dyDescent="0.3">
      <c r="A100" s="5" t="s">
        <v>7</v>
      </c>
      <c r="B100" s="5" t="s">
        <v>164</v>
      </c>
      <c r="C100" s="5">
        <v>473567</v>
      </c>
      <c r="D100" s="5" t="s">
        <v>165</v>
      </c>
      <c r="E100" s="34" t="s">
        <v>166</v>
      </c>
      <c r="F100" s="5" t="s">
        <v>692</v>
      </c>
      <c r="G100" s="5" t="s">
        <v>692</v>
      </c>
      <c r="H100" s="5" t="s">
        <v>692</v>
      </c>
      <c r="I100" s="5" t="s">
        <v>692</v>
      </c>
      <c r="J100" s="54">
        <v>568145.55000000005</v>
      </c>
      <c r="K100" s="54">
        <v>0</v>
      </c>
      <c r="L100" s="54">
        <v>568145.55000000005</v>
      </c>
      <c r="M100" s="54">
        <v>482923.71750000003</v>
      </c>
      <c r="N100" s="54">
        <v>85221.832500000019</v>
      </c>
      <c r="O100" s="52">
        <v>0</v>
      </c>
      <c r="P100" s="4">
        <f t="shared" si="1"/>
        <v>1</v>
      </c>
      <c r="Q100" s="71"/>
      <c r="R100" s="71"/>
    </row>
    <row r="101" spans="1:18" x14ac:dyDescent="0.3">
      <c r="A101" s="5" t="s">
        <v>7</v>
      </c>
      <c r="B101" s="5" t="s">
        <v>164</v>
      </c>
      <c r="C101" s="5">
        <v>473567</v>
      </c>
      <c r="D101" s="5" t="s">
        <v>165</v>
      </c>
      <c r="E101" s="34" t="s">
        <v>167</v>
      </c>
      <c r="F101" s="5" t="s">
        <v>692</v>
      </c>
      <c r="G101" s="5" t="s">
        <v>692</v>
      </c>
      <c r="H101" s="5" t="s">
        <v>692</v>
      </c>
      <c r="I101" s="5" t="s">
        <v>692</v>
      </c>
      <c r="J101" s="54">
        <v>67151.850000000006</v>
      </c>
      <c r="K101" s="54">
        <v>0</v>
      </c>
      <c r="L101" s="54">
        <v>67151.850000000006</v>
      </c>
      <c r="M101" s="54">
        <v>57079.072500000002</v>
      </c>
      <c r="N101" s="54">
        <v>10072.777500000004</v>
      </c>
      <c r="O101" s="52">
        <v>0</v>
      </c>
      <c r="P101" s="4">
        <f t="shared" si="1"/>
        <v>1</v>
      </c>
      <c r="Q101" s="71"/>
      <c r="R101" s="71"/>
    </row>
    <row r="102" spans="1:18" x14ac:dyDescent="0.3">
      <c r="A102" s="5" t="s">
        <v>7</v>
      </c>
      <c r="B102" s="5" t="s">
        <v>164</v>
      </c>
      <c r="C102" s="5">
        <v>473567</v>
      </c>
      <c r="D102" s="5" t="s">
        <v>165</v>
      </c>
      <c r="E102" s="34" t="s">
        <v>168</v>
      </c>
      <c r="F102" s="5" t="s">
        <v>692</v>
      </c>
      <c r="G102" s="5" t="s">
        <v>692</v>
      </c>
      <c r="H102" s="5" t="s">
        <v>692</v>
      </c>
      <c r="I102" s="5" t="s">
        <v>692</v>
      </c>
      <c r="J102" s="54">
        <v>81625.389999999985</v>
      </c>
      <c r="K102" s="54">
        <v>0</v>
      </c>
      <c r="L102" s="54">
        <v>81625.389999999985</v>
      </c>
      <c r="M102" s="54">
        <v>69381.581499999986</v>
      </c>
      <c r="N102" s="54">
        <v>12243.808499999999</v>
      </c>
      <c r="O102" s="52">
        <v>0</v>
      </c>
      <c r="P102" s="4">
        <f t="shared" si="1"/>
        <v>1</v>
      </c>
      <c r="Q102" s="71"/>
      <c r="R102" s="71"/>
    </row>
    <row r="103" spans="1:18" x14ac:dyDescent="0.3">
      <c r="A103" s="5" t="s">
        <v>7</v>
      </c>
      <c r="B103" s="5" t="s">
        <v>164</v>
      </c>
      <c r="C103" s="5">
        <v>500518</v>
      </c>
      <c r="D103" s="5" t="s">
        <v>169</v>
      </c>
      <c r="E103" s="34" t="s">
        <v>170</v>
      </c>
      <c r="F103" s="5" t="s">
        <v>692</v>
      </c>
      <c r="G103" s="5" t="s">
        <v>692</v>
      </c>
      <c r="H103" s="5" t="s">
        <v>692</v>
      </c>
      <c r="I103" s="5" t="s">
        <v>692</v>
      </c>
      <c r="J103" s="54">
        <v>464696.32999999996</v>
      </c>
      <c r="K103" s="54">
        <v>0</v>
      </c>
      <c r="L103" s="54">
        <v>464696.32999999996</v>
      </c>
      <c r="M103" s="54">
        <v>394991.88049999997</v>
      </c>
      <c r="N103" s="54">
        <v>69704.449499999988</v>
      </c>
      <c r="O103" s="52">
        <v>0</v>
      </c>
      <c r="P103" s="4">
        <f t="shared" si="1"/>
        <v>1</v>
      </c>
      <c r="Q103" s="71"/>
      <c r="R103" s="71"/>
    </row>
    <row r="104" spans="1:18" x14ac:dyDescent="0.3">
      <c r="A104" s="5" t="s">
        <v>7</v>
      </c>
      <c r="B104" s="5" t="s">
        <v>164</v>
      </c>
      <c r="C104" s="5">
        <v>500518</v>
      </c>
      <c r="D104" s="5" t="s">
        <v>169</v>
      </c>
      <c r="E104" s="34" t="s">
        <v>171</v>
      </c>
      <c r="F104" s="5" t="s">
        <v>692</v>
      </c>
      <c r="G104" s="5" t="s">
        <v>692</v>
      </c>
      <c r="H104" s="5" t="s">
        <v>692</v>
      </c>
      <c r="I104" s="5" t="s">
        <v>692</v>
      </c>
      <c r="J104" s="54">
        <v>72263.88</v>
      </c>
      <c r="K104" s="54">
        <v>0</v>
      </c>
      <c r="L104" s="54">
        <v>72263.88</v>
      </c>
      <c r="M104" s="54">
        <v>61424.298000000003</v>
      </c>
      <c r="N104" s="54">
        <v>10839.582000000002</v>
      </c>
      <c r="O104" s="52">
        <v>0</v>
      </c>
      <c r="P104" s="4">
        <f t="shared" si="1"/>
        <v>1</v>
      </c>
      <c r="Q104" s="71"/>
      <c r="R104" s="71"/>
    </row>
    <row r="105" spans="1:18" x14ac:dyDescent="0.3">
      <c r="A105" s="5" t="s">
        <v>7</v>
      </c>
      <c r="B105" s="5" t="s">
        <v>164</v>
      </c>
      <c r="C105" s="5">
        <v>500518</v>
      </c>
      <c r="D105" s="5" t="s">
        <v>169</v>
      </c>
      <c r="E105" s="34" t="s">
        <v>172</v>
      </c>
      <c r="F105" s="5" t="s">
        <v>692</v>
      </c>
      <c r="G105" s="5" t="s">
        <v>692</v>
      </c>
      <c r="H105" s="5" t="s">
        <v>692</v>
      </c>
      <c r="I105" s="5" t="s">
        <v>692</v>
      </c>
      <c r="J105" s="54">
        <v>117258.3</v>
      </c>
      <c r="K105" s="54">
        <v>0</v>
      </c>
      <c r="L105" s="54">
        <v>117258.3</v>
      </c>
      <c r="M105" s="54">
        <v>99669.554999999993</v>
      </c>
      <c r="N105" s="54">
        <v>17588.74500000001</v>
      </c>
      <c r="O105" s="52">
        <v>0</v>
      </c>
      <c r="P105" s="4">
        <f t="shared" si="1"/>
        <v>1</v>
      </c>
      <c r="Q105" s="71"/>
      <c r="R105" s="71"/>
    </row>
    <row r="106" spans="1:18" x14ac:dyDescent="0.3">
      <c r="A106" s="5" t="s">
        <v>7</v>
      </c>
      <c r="B106" s="5" t="s">
        <v>164</v>
      </c>
      <c r="C106" s="5">
        <v>500518</v>
      </c>
      <c r="D106" s="5" t="s">
        <v>169</v>
      </c>
      <c r="E106" s="34" t="s">
        <v>173</v>
      </c>
      <c r="F106" s="5" t="s">
        <v>692</v>
      </c>
      <c r="G106" s="5" t="s">
        <v>692</v>
      </c>
      <c r="H106" s="5" t="s">
        <v>692</v>
      </c>
      <c r="I106" s="5" t="s">
        <v>692</v>
      </c>
      <c r="J106" s="54">
        <v>30245.850000000002</v>
      </c>
      <c r="K106" s="54">
        <v>0</v>
      </c>
      <c r="L106" s="54">
        <v>30245.850000000002</v>
      </c>
      <c r="M106" s="54">
        <v>25708.9725</v>
      </c>
      <c r="N106" s="54">
        <v>4536.8775000000023</v>
      </c>
      <c r="O106" s="52">
        <v>0</v>
      </c>
      <c r="P106" s="4">
        <f t="shared" si="1"/>
        <v>1</v>
      </c>
      <c r="Q106" s="71"/>
      <c r="R106" s="71"/>
    </row>
    <row r="107" spans="1:18" x14ac:dyDescent="0.3">
      <c r="A107" s="5" t="s">
        <v>7</v>
      </c>
      <c r="B107" s="5" t="s">
        <v>164</v>
      </c>
      <c r="C107" s="5">
        <v>500518</v>
      </c>
      <c r="D107" s="5" t="s">
        <v>169</v>
      </c>
      <c r="E107" s="34" t="s">
        <v>174</v>
      </c>
      <c r="F107" s="5" t="s">
        <v>692</v>
      </c>
      <c r="G107" s="5" t="s">
        <v>692</v>
      </c>
      <c r="H107" s="5" t="s">
        <v>692</v>
      </c>
      <c r="I107" s="5" t="s">
        <v>692</v>
      </c>
      <c r="J107" s="54">
        <v>75825.209999999992</v>
      </c>
      <c r="K107" s="54">
        <v>0</v>
      </c>
      <c r="L107" s="54">
        <v>75825.209999999992</v>
      </c>
      <c r="M107" s="54">
        <v>64451.428499999995</v>
      </c>
      <c r="N107" s="54">
        <v>11373.781499999997</v>
      </c>
      <c r="O107" s="52">
        <v>0</v>
      </c>
      <c r="P107" s="4">
        <f t="shared" si="1"/>
        <v>1</v>
      </c>
      <c r="Q107" s="71"/>
      <c r="R107" s="71"/>
    </row>
    <row r="108" spans="1:18" x14ac:dyDescent="0.3">
      <c r="A108" s="5" t="s">
        <v>7</v>
      </c>
      <c r="B108" s="5" t="s">
        <v>164</v>
      </c>
      <c r="C108" s="5">
        <v>500518</v>
      </c>
      <c r="D108" s="5" t="s">
        <v>169</v>
      </c>
      <c r="E108" s="34" t="s">
        <v>175</v>
      </c>
      <c r="F108" s="5" t="s">
        <v>692</v>
      </c>
      <c r="G108" s="5" t="s">
        <v>692</v>
      </c>
      <c r="H108" s="5" t="s">
        <v>692</v>
      </c>
      <c r="I108" s="5" t="s">
        <v>692</v>
      </c>
      <c r="J108" s="54">
        <v>65662.600000000006</v>
      </c>
      <c r="K108" s="54">
        <v>0</v>
      </c>
      <c r="L108" s="54">
        <v>65662.600000000006</v>
      </c>
      <c r="M108" s="54">
        <v>55813.210000000006</v>
      </c>
      <c r="N108" s="54">
        <v>9849.39</v>
      </c>
      <c r="O108" s="52">
        <v>0</v>
      </c>
      <c r="P108" s="4">
        <f t="shared" si="1"/>
        <v>1</v>
      </c>
      <c r="Q108" s="71"/>
      <c r="R108" s="71"/>
    </row>
    <row r="109" spans="1:18" x14ac:dyDescent="0.3">
      <c r="A109" s="5" t="s">
        <v>7</v>
      </c>
      <c r="B109" s="5" t="s">
        <v>164</v>
      </c>
      <c r="C109" s="5">
        <v>544105</v>
      </c>
      <c r="D109" s="5" t="s">
        <v>176</v>
      </c>
      <c r="E109" s="34" t="s">
        <v>177</v>
      </c>
      <c r="F109" s="5" t="s">
        <v>692</v>
      </c>
      <c r="G109" s="5" t="s">
        <v>692</v>
      </c>
      <c r="H109" s="5" t="s">
        <v>692</v>
      </c>
      <c r="I109" s="5" t="s">
        <v>692</v>
      </c>
      <c r="J109" s="54">
        <v>276750</v>
      </c>
      <c r="K109" s="54">
        <v>0</v>
      </c>
      <c r="L109" s="54">
        <v>276750</v>
      </c>
      <c r="M109" s="54">
        <v>235237.5</v>
      </c>
      <c r="N109" s="54">
        <v>41512.5</v>
      </c>
      <c r="O109" s="52">
        <v>0</v>
      </c>
      <c r="P109" s="4">
        <f t="shared" si="1"/>
        <v>1</v>
      </c>
      <c r="Q109" s="71"/>
      <c r="R109" s="71"/>
    </row>
    <row r="110" spans="1:18" x14ac:dyDescent="0.3">
      <c r="A110" s="5" t="s">
        <v>7</v>
      </c>
      <c r="B110" s="5" t="s">
        <v>164</v>
      </c>
      <c r="C110" s="5">
        <v>544105</v>
      </c>
      <c r="D110" s="5" t="s">
        <v>176</v>
      </c>
      <c r="E110" s="34" t="s">
        <v>178</v>
      </c>
      <c r="F110" s="5" t="s">
        <v>692</v>
      </c>
      <c r="G110" s="5" t="s">
        <v>692</v>
      </c>
      <c r="H110" s="5" t="s">
        <v>692</v>
      </c>
      <c r="I110" s="5" t="s">
        <v>692</v>
      </c>
      <c r="J110" s="54">
        <v>61500</v>
      </c>
      <c r="K110" s="54">
        <v>0</v>
      </c>
      <c r="L110" s="54">
        <v>61500</v>
      </c>
      <c r="M110" s="54">
        <v>52275</v>
      </c>
      <c r="N110" s="54">
        <v>9225</v>
      </c>
      <c r="O110" s="52">
        <v>0</v>
      </c>
      <c r="P110" s="4">
        <f t="shared" si="1"/>
        <v>1</v>
      </c>
      <c r="Q110" s="71"/>
      <c r="R110" s="71"/>
    </row>
    <row r="111" spans="1:18" x14ac:dyDescent="0.3">
      <c r="A111" s="5" t="s">
        <v>7</v>
      </c>
      <c r="B111" s="5" t="s">
        <v>164</v>
      </c>
      <c r="C111" s="5">
        <v>544105</v>
      </c>
      <c r="D111" s="5" t="s">
        <v>176</v>
      </c>
      <c r="E111" s="34" t="s">
        <v>179</v>
      </c>
      <c r="F111" s="5" t="s">
        <v>692</v>
      </c>
      <c r="G111" s="5">
        <v>3286</v>
      </c>
      <c r="H111" s="5">
        <v>422164</v>
      </c>
      <c r="I111" s="5">
        <v>749850</v>
      </c>
      <c r="J111" s="54">
        <v>156115.78</v>
      </c>
      <c r="K111" s="54">
        <v>31223.179999999993</v>
      </c>
      <c r="L111" s="54">
        <v>124892.6</v>
      </c>
      <c r="M111" s="54">
        <v>124892.6</v>
      </c>
      <c r="N111" s="54">
        <v>0</v>
      </c>
      <c r="O111" s="52">
        <v>0</v>
      </c>
      <c r="P111" s="4">
        <f t="shared" si="1"/>
        <v>0.79999984626794296</v>
      </c>
      <c r="Q111" s="71"/>
      <c r="R111" s="71"/>
    </row>
    <row r="112" spans="1:18" x14ac:dyDescent="0.3">
      <c r="A112" s="5" t="s">
        <v>7</v>
      </c>
      <c r="B112" s="5" t="s">
        <v>164</v>
      </c>
      <c r="C112" s="5">
        <v>544105</v>
      </c>
      <c r="D112" s="5" t="s">
        <v>176</v>
      </c>
      <c r="E112" s="34" t="s">
        <v>180</v>
      </c>
      <c r="F112" s="8" t="s">
        <v>692</v>
      </c>
      <c r="G112" s="8" t="s">
        <v>692</v>
      </c>
      <c r="H112" s="8" t="s">
        <v>692</v>
      </c>
      <c r="I112" s="8" t="s">
        <v>692</v>
      </c>
      <c r="J112" s="54">
        <v>29434.85</v>
      </c>
      <c r="K112" s="54">
        <v>0</v>
      </c>
      <c r="L112" s="54">
        <v>29434.85</v>
      </c>
      <c r="M112" s="54">
        <v>25019.622499999998</v>
      </c>
      <c r="N112" s="54">
        <v>4415.2275000000009</v>
      </c>
      <c r="O112" s="52">
        <v>0</v>
      </c>
      <c r="P112" s="4">
        <f t="shared" si="1"/>
        <v>1</v>
      </c>
      <c r="Q112" s="71"/>
      <c r="R112" s="71"/>
    </row>
    <row r="113" spans="1:18" ht="29.55" x14ac:dyDescent="0.3">
      <c r="A113" s="5" t="s">
        <v>7</v>
      </c>
      <c r="B113" s="5" t="s">
        <v>164</v>
      </c>
      <c r="C113" s="8">
        <v>599030</v>
      </c>
      <c r="D113" s="8" t="s">
        <v>181</v>
      </c>
      <c r="E113" s="35" t="s">
        <v>182</v>
      </c>
      <c r="F113" s="8" t="s">
        <v>692</v>
      </c>
      <c r="G113" s="8" t="s">
        <v>692</v>
      </c>
      <c r="H113" s="8" t="s">
        <v>692</v>
      </c>
      <c r="I113" s="8" t="s">
        <v>692</v>
      </c>
      <c r="J113" s="54">
        <v>218940</v>
      </c>
      <c r="K113" s="54">
        <v>0</v>
      </c>
      <c r="L113" s="54">
        <v>218940</v>
      </c>
      <c r="M113" s="54">
        <v>186099</v>
      </c>
      <c r="N113" s="54">
        <v>32841</v>
      </c>
      <c r="O113" s="52">
        <v>0</v>
      </c>
      <c r="P113" s="4">
        <f t="shared" si="1"/>
        <v>1</v>
      </c>
      <c r="Q113" s="71"/>
      <c r="R113" s="71"/>
    </row>
    <row r="114" spans="1:18" ht="29.55" x14ac:dyDescent="0.3">
      <c r="A114" s="5" t="s">
        <v>7</v>
      </c>
      <c r="B114" s="5" t="s">
        <v>164</v>
      </c>
      <c r="C114" s="8">
        <v>599030</v>
      </c>
      <c r="D114" s="8" t="s">
        <v>181</v>
      </c>
      <c r="E114" s="35" t="s">
        <v>183</v>
      </c>
      <c r="F114" s="8" t="s">
        <v>692</v>
      </c>
      <c r="G114" s="8" t="s">
        <v>692</v>
      </c>
      <c r="H114" s="8" t="s">
        <v>692</v>
      </c>
      <c r="I114" s="8" t="s">
        <v>692</v>
      </c>
      <c r="J114" s="54">
        <v>259997</v>
      </c>
      <c r="K114" s="54">
        <v>39000</v>
      </c>
      <c r="L114" s="54">
        <v>220997</v>
      </c>
      <c r="M114" s="54">
        <v>220997</v>
      </c>
      <c r="N114" s="54">
        <v>0</v>
      </c>
      <c r="O114" s="52">
        <v>0</v>
      </c>
      <c r="P114" s="4">
        <f t="shared" si="1"/>
        <v>0.84999826921079857</v>
      </c>
      <c r="Q114" s="71"/>
      <c r="R114" s="71"/>
    </row>
    <row r="115" spans="1:18" x14ac:dyDescent="0.3">
      <c r="A115" s="5" t="s">
        <v>7</v>
      </c>
      <c r="B115" s="5" t="s">
        <v>164</v>
      </c>
      <c r="C115" s="8">
        <v>599030</v>
      </c>
      <c r="D115" s="8" t="s">
        <v>181</v>
      </c>
      <c r="E115" s="35" t="s">
        <v>184</v>
      </c>
      <c r="F115" s="8" t="s">
        <v>692</v>
      </c>
      <c r="G115" s="8" t="s">
        <v>692</v>
      </c>
      <c r="H115" s="8" t="s">
        <v>692</v>
      </c>
      <c r="I115" s="8" t="s">
        <v>692</v>
      </c>
      <c r="J115" s="54">
        <v>314366</v>
      </c>
      <c r="K115" s="54">
        <v>47155</v>
      </c>
      <c r="L115" s="54">
        <v>267211</v>
      </c>
      <c r="M115" s="54">
        <v>267211</v>
      </c>
      <c r="N115" s="54">
        <v>0</v>
      </c>
      <c r="O115" s="52">
        <v>0</v>
      </c>
      <c r="P115" s="4">
        <f t="shared" si="1"/>
        <v>0.84999968189944208</v>
      </c>
      <c r="Q115" s="71"/>
      <c r="R115" s="71"/>
    </row>
    <row r="116" spans="1:18" x14ac:dyDescent="0.3">
      <c r="A116" s="5" t="s">
        <v>7</v>
      </c>
      <c r="B116" s="5" t="s">
        <v>164</v>
      </c>
      <c r="C116" s="8">
        <v>599030</v>
      </c>
      <c r="D116" s="8" t="s">
        <v>181</v>
      </c>
      <c r="E116" s="35" t="s">
        <v>185</v>
      </c>
      <c r="F116" s="8" t="s">
        <v>692</v>
      </c>
      <c r="G116" s="8" t="s">
        <v>692</v>
      </c>
      <c r="H116" s="8" t="s">
        <v>692</v>
      </c>
      <c r="I116" s="8" t="s">
        <v>692</v>
      </c>
      <c r="J116" s="54">
        <v>560375</v>
      </c>
      <c r="K116" s="54">
        <v>0</v>
      </c>
      <c r="L116" s="54">
        <v>560375</v>
      </c>
      <c r="M116" s="54">
        <v>476318.75</v>
      </c>
      <c r="N116" s="54">
        <v>84056.25</v>
      </c>
      <c r="O116" s="52">
        <v>0</v>
      </c>
      <c r="P116" s="4">
        <f t="shared" si="1"/>
        <v>1</v>
      </c>
      <c r="Q116" s="71"/>
      <c r="R116" s="71"/>
    </row>
    <row r="117" spans="1:18" ht="29.55" x14ac:dyDescent="0.3">
      <c r="A117" s="5" t="s">
        <v>7</v>
      </c>
      <c r="B117" s="5" t="s">
        <v>164</v>
      </c>
      <c r="C117" s="8">
        <v>599030</v>
      </c>
      <c r="D117" s="8" t="s">
        <v>181</v>
      </c>
      <c r="E117" s="35" t="s">
        <v>186</v>
      </c>
      <c r="F117" s="8" t="s">
        <v>692</v>
      </c>
      <c r="G117" s="8" t="s">
        <v>692</v>
      </c>
      <c r="H117" s="8" t="s">
        <v>692</v>
      </c>
      <c r="I117" s="8" t="s">
        <v>692</v>
      </c>
      <c r="J117" s="54">
        <v>25075</v>
      </c>
      <c r="K117" s="54">
        <v>3761</v>
      </c>
      <c r="L117" s="54">
        <v>21314</v>
      </c>
      <c r="M117" s="54">
        <v>21314</v>
      </c>
      <c r="N117" s="54">
        <v>0</v>
      </c>
      <c r="O117" s="52">
        <v>0</v>
      </c>
      <c r="P117" s="4">
        <f t="shared" si="1"/>
        <v>0.85000997008973078</v>
      </c>
      <c r="Q117" s="71"/>
      <c r="R117" s="71"/>
    </row>
    <row r="118" spans="1:18" x14ac:dyDescent="0.3">
      <c r="A118" s="5" t="s">
        <v>7</v>
      </c>
      <c r="B118" s="5" t="s">
        <v>164</v>
      </c>
      <c r="C118" s="8">
        <v>599030</v>
      </c>
      <c r="D118" s="8" t="s">
        <v>181</v>
      </c>
      <c r="E118" s="35" t="s">
        <v>187</v>
      </c>
      <c r="F118" s="8" t="s">
        <v>692</v>
      </c>
      <c r="G118" s="8" t="s">
        <v>692</v>
      </c>
      <c r="H118" s="8" t="s">
        <v>692</v>
      </c>
      <c r="I118" s="8" t="s">
        <v>692</v>
      </c>
      <c r="J118" s="54">
        <v>409005.09</v>
      </c>
      <c r="K118" s="54">
        <v>0</v>
      </c>
      <c r="L118" s="54">
        <v>409005.09</v>
      </c>
      <c r="M118" s="54">
        <v>347654.32650000002</v>
      </c>
      <c r="N118" s="54">
        <v>61350.763500000001</v>
      </c>
      <c r="O118" s="52">
        <v>0</v>
      </c>
      <c r="P118" s="4">
        <f t="shared" si="1"/>
        <v>1</v>
      </c>
      <c r="Q118" s="71"/>
      <c r="R118" s="71"/>
    </row>
    <row r="119" spans="1:18" x14ac:dyDescent="0.3">
      <c r="A119" s="5" t="s">
        <v>7</v>
      </c>
      <c r="B119" s="5" t="s">
        <v>164</v>
      </c>
      <c r="C119" s="8">
        <v>573284</v>
      </c>
      <c r="D119" s="8" t="s">
        <v>188</v>
      </c>
      <c r="E119" s="35" t="s">
        <v>189</v>
      </c>
      <c r="F119" s="8" t="s">
        <v>692</v>
      </c>
      <c r="G119" s="8" t="s">
        <v>692</v>
      </c>
      <c r="H119" s="8" t="s">
        <v>692</v>
      </c>
      <c r="I119" s="8" t="s">
        <v>692</v>
      </c>
      <c r="J119" s="54">
        <v>1320000</v>
      </c>
      <c r="K119" s="54">
        <v>0</v>
      </c>
      <c r="L119" s="54">
        <v>1320000</v>
      </c>
      <c r="M119" s="54">
        <v>1122000</v>
      </c>
      <c r="N119" s="54">
        <v>198000</v>
      </c>
      <c r="O119" s="52">
        <v>0</v>
      </c>
      <c r="P119" s="4">
        <f t="shared" si="1"/>
        <v>1</v>
      </c>
      <c r="Q119" s="71"/>
      <c r="R119" s="71"/>
    </row>
    <row r="120" spans="1:18" ht="29.55" x14ac:dyDescent="0.3">
      <c r="A120" s="5" t="s">
        <v>7</v>
      </c>
      <c r="B120" s="5" t="s">
        <v>164</v>
      </c>
      <c r="C120" s="8">
        <v>573284</v>
      </c>
      <c r="D120" s="8" t="s">
        <v>188</v>
      </c>
      <c r="E120" s="35" t="s">
        <v>190</v>
      </c>
      <c r="F120" s="8" t="s">
        <v>692</v>
      </c>
      <c r="G120" s="8" t="s">
        <v>692</v>
      </c>
      <c r="H120" s="8" t="s">
        <v>692</v>
      </c>
      <c r="I120" s="8" t="s">
        <v>692</v>
      </c>
      <c r="J120" s="54">
        <v>79950</v>
      </c>
      <c r="K120" s="54">
        <v>0</v>
      </c>
      <c r="L120" s="54">
        <v>79950</v>
      </c>
      <c r="M120" s="54">
        <v>67957.5</v>
      </c>
      <c r="N120" s="54">
        <v>11992.5</v>
      </c>
      <c r="O120" s="52">
        <v>0</v>
      </c>
      <c r="P120" s="4">
        <f t="shared" si="1"/>
        <v>1</v>
      </c>
      <c r="Q120" s="71"/>
      <c r="R120" s="71"/>
    </row>
    <row r="121" spans="1:18" ht="29.55" x14ac:dyDescent="0.3">
      <c r="A121" s="5" t="s">
        <v>7</v>
      </c>
      <c r="B121" s="5" t="s">
        <v>164</v>
      </c>
      <c r="C121" s="8">
        <v>582413</v>
      </c>
      <c r="D121" s="8" t="s">
        <v>191</v>
      </c>
      <c r="E121" s="35" t="s">
        <v>192</v>
      </c>
      <c r="F121" s="48" t="s">
        <v>692</v>
      </c>
      <c r="G121" s="48" t="s">
        <v>692</v>
      </c>
      <c r="H121" s="48" t="s">
        <v>692</v>
      </c>
      <c r="I121" s="48" t="s">
        <v>692</v>
      </c>
      <c r="J121" s="54">
        <v>568879.14</v>
      </c>
      <c r="K121" s="54">
        <v>0</v>
      </c>
      <c r="L121" s="54">
        <v>568879.14</v>
      </c>
      <c r="M121" s="54">
        <v>483547.26899999997</v>
      </c>
      <c r="N121" s="54">
        <v>85331.871000000043</v>
      </c>
      <c r="O121" s="52">
        <v>0</v>
      </c>
      <c r="P121" s="4">
        <f t="shared" si="1"/>
        <v>1</v>
      </c>
      <c r="Q121" s="71"/>
      <c r="R121" s="71"/>
    </row>
    <row r="122" spans="1:18" ht="29.55" x14ac:dyDescent="0.3">
      <c r="A122" s="5" t="s">
        <v>7</v>
      </c>
      <c r="B122" s="5" t="s">
        <v>164</v>
      </c>
      <c r="C122" s="8">
        <v>582413</v>
      </c>
      <c r="D122" s="8" t="s">
        <v>191</v>
      </c>
      <c r="E122" s="37" t="s">
        <v>193</v>
      </c>
      <c r="F122" s="48" t="s">
        <v>692</v>
      </c>
      <c r="G122" s="48" t="s">
        <v>692</v>
      </c>
      <c r="H122" s="48" t="s">
        <v>692</v>
      </c>
      <c r="I122" s="48" t="s">
        <v>692</v>
      </c>
      <c r="J122" s="54">
        <v>119999.99</v>
      </c>
      <c r="K122" s="54">
        <v>0</v>
      </c>
      <c r="L122" s="54">
        <v>119999.99</v>
      </c>
      <c r="M122" s="54">
        <v>101999.9915</v>
      </c>
      <c r="N122" s="54">
        <v>17999.998500000002</v>
      </c>
      <c r="O122" s="52">
        <v>0</v>
      </c>
      <c r="P122" s="4">
        <f t="shared" si="1"/>
        <v>1</v>
      </c>
      <c r="Q122" s="71"/>
      <c r="R122" s="71"/>
    </row>
    <row r="123" spans="1:18" x14ac:dyDescent="0.3">
      <c r="A123" s="5" t="s">
        <v>7</v>
      </c>
      <c r="B123" s="5" t="s">
        <v>164</v>
      </c>
      <c r="C123" s="8">
        <v>582413</v>
      </c>
      <c r="D123" s="8" t="s">
        <v>191</v>
      </c>
      <c r="E123" s="37" t="s">
        <v>194</v>
      </c>
      <c r="F123" s="48" t="s">
        <v>692</v>
      </c>
      <c r="G123" s="48" t="s">
        <v>692</v>
      </c>
      <c r="H123" s="48" t="s">
        <v>692</v>
      </c>
      <c r="I123" s="48" t="s">
        <v>692</v>
      </c>
      <c r="J123" s="54">
        <v>39999.99</v>
      </c>
      <c r="K123" s="54">
        <v>0</v>
      </c>
      <c r="L123" s="54">
        <v>39999.99</v>
      </c>
      <c r="M123" s="54">
        <v>33999.991499999996</v>
      </c>
      <c r="N123" s="54">
        <v>5999.9985000000015</v>
      </c>
      <c r="O123" s="52">
        <v>0</v>
      </c>
      <c r="P123" s="4">
        <f t="shared" si="1"/>
        <v>1</v>
      </c>
      <c r="Q123" s="71"/>
      <c r="R123" s="71"/>
    </row>
    <row r="124" spans="1:18" ht="29.55" x14ac:dyDescent="0.3">
      <c r="A124" s="5" t="s">
        <v>7</v>
      </c>
      <c r="B124" s="5" t="s">
        <v>164</v>
      </c>
      <c r="C124" s="8">
        <v>582413</v>
      </c>
      <c r="D124" s="8" t="s">
        <v>191</v>
      </c>
      <c r="E124" s="37" t="s">
        <v>195</v>
      </c>
      <c r="F124" s="48" t="s">
        <v>692</v>
      </c>
      <c r="G124" s="48" t="s">
        <v>692</v>
      </c>
      <c r="H124" s="48" t="s">
        <v>692</v>
      </c>
      <c r="I124" s="48" t="s">
        <v>692</v>
      </c>
      <c r="J124" s="54">
        <v>36000</v>
      </c>
      <c r="K124" s="54">
        <v>0</v>
      </c>
      <c r="L124" s="54">
        <v>36000</v>
      </c>
      <c r="M124" s="54">
        <v>30600</v>
      </c>
      <c r="N124" s="54">
        <v>5400</v>
      </c>
      <c r="O124" s="52">
        <v>0</v>
      </c>
      <c r="P124" s="4">
        <f t="shared" si="1"/>
        <v>1</v>
      </c>
      <c r="Q124" s="71"/>
      <c r="R124" s="71"/>
    </row>
    <row r="125" spans="1:18" x14ac:dyDescent="0.3">
      <c r="A125" s="5" t="s">
        <v>7</v>
      </c>
      <c r="B125" s="5" t="s">
        <v>164</v>
      </c>
      <c r="C125" s="8">
        <v>582413</v>
      </c>
      <c r="D125" s="8" t="s">
        <v>191</v>
      </c>
      <c r="E125" s="37" t="s">
        <v>196</v>
      </c>
      <c r="F125" s="8" t="s">
        <v>692</v>
      </c>
      <c r="G125" s="8" t="s">
        <v>692</v>
      </c>
      <c r="H125" s="8" t="s">
        <v>692</v>
      </c>
      <c r="I125" s="8" t="s">
        <v>692</v>
      </c>
      <c r="J125" s="54">
        <v>49999.99</v>
      </c>
      <c r="K125" s="54">
        <v>0</v>
      </c>
      <c r="L125" s="54">
        <v>49999.99</v>
      </c>
      <c r="M125" s="54">
        <v>42499.991499999996</v>
      </c>
      <c r="N125" s="54">
        <v>7499.9985000000015</v>
      </c>
      <c r="O125" s="52">
        <v>0</v>
      </c>
      <c r="P125" s="4">
        <f t="shared" si="1"/>
        <v>1</v>
      </c>
      <c r="Q125" s="71"/>
      <c r="R125" s="71"/>
    </row>
    <row r="126" spans="1:18" ht="29.55" x14ac:dyDescent="0.3">
      <c r="A126" s="5" t="s">
        <v>7</v>
      </c>
      <c r="B126" s="5" t="s">
        <v>164</v>
      </c>
      <c r="C126" s="8">
        <v>582413</v>
      </c>
      <c r="D126" s="8" t="s">
        <v>191</v>
      </c>
      <c r="E126" s="35" t="s">
        <v>197</v>
      </c>
      <c r="F126" s="8" t="s">
        <v>692</v>
      </c>
      <c r="G126" s="8" t="s">
        <v>692</v>
      </c>
      <c r="H126" s="8" t="s">
        <v>692</v>
      </c>
      <c r="I126" s="8" t="s">
        <v>692</v>
      </c>
      <c r="J126" s="54">
        <v>39999.99</v>
      </c>
      <c r="K126" s="54">
        <v>0</v>
      </c>
      <c r="L126" s="54">
        <v>39999.99</v>
      </c>
      <c r="M126" s="54">
        <v>33999.991499999996</v>
      </c>
      <c r="N126" s="54">
        <v>5999.9985000000015</v>
      </c>
      <c r="O126" s="52">
        <v>0</v>
      </c>
      <c r="P126" s="4">
        <f t="shared" si="1"/>
        <v>1</v>
      </c>
      <c r="Q126" s="71"/>
      <c r="R126" s="71"/>
    </row>
    <row r="127" spans="1:18" ht="29.55" x14ac:dyDescent="0.3">
      <c r="A127" s="5" t="s">
        <v>7</v>
      </c>
      <c r="B127" s="5" t="s">
        <v>164</v>
      </c>
      <c r="C127" s="8">
        <v>582413</v>
      </c>
      <c r="D127" s="8" t="s">
        <v>191</v>
      </c>
      <c r="E127" s="35" t="s">
        <v>190</v>
      </c>
      <c r="F127" s="8" t="s">
        <v>692</v>
      </c>
      <c r="G127" s="8" t="s">
        <v>692</v>
      </c>
      <c r="H127" s="8" t="s">
        <v>692</v>
      </c>
      <c r="I127" s="8" t="s">
        <v>692</v>
      </c>
      <c r="J127" s="54">
        <v>44999.99</v>
      </c>
      <c r="K127" s="54">
        <v>0</v>
      </c>
      <c r="L127" s="54">
        <v>44999.99</v>
      </c>
      <c r="M127" s="54">
        <v>38249.991499999996</v>
      </c>
      <c r="N127" s="54">
        <v>6749.9985000000015</v>
      </c>
      <c r="O127" s="52">
        <v>0</v>
      </c>
      <c r="P127" s="4">
        <f t="shared" si="1"/>
        <v>1</v>
      </c>
      <c r="Q127" s="71"/>
      <c r="R127" s="71"/>
    </row>
    <row r="128" spans="1:18" ht="44.35" x14ac:dyDescent="0.3">
      <c r="A128" s="5" t="s">
        <v>7</v>
      </c>
      <c r="B128" s="5" t="s">
        <v>164</v>
      </c>
      <c r="C128" s="8">
        <v>551749</v>
      </c>
      <c r="D128" s="8" t="s">
        <v>198</v>
      </c>
      <c r="E128" s="35" t="s">
        <v>199</v>
      </c>
      <c r="F128" s="8" t="s">
        <v>692</v>
      </c>
      <c r="G128" s="8" t="s">
        <v>692</v>
      </c>
      <c r="H128" s="8" t="s">
        <v>692</v>
      </c>
      <c r="I128" s="8" t="s">
        <v>692</v>
      </c>
      <c r="J128" s="54">
        <v>684470</v>
      </c>
      <c r="K128" s="54">
        <v>0</v>
      </c>
      <c r="L128" s="54">
        <v>684470</v>
      </c>
      <c r="M128" s="54">
        <v>581799.5</v>
      </c>
      <c r="N128" s="54">
        <v>102670.5</v>
      </c>
      <c r="O128" s="52">
        <v>0</v>
      </c>
      <c r="P128" s="4">
        <f t="shared" si="1"/>
        <v>1</v>
      </c>
      <c r="Q128" s="71"/>
      <c r="R128" s="71"/>
    </row>
    <row r="129" spans="1:18" x14ac:dyDescent="0.3">
      <c r="A129" s="5" t="s">
        <v>7</v>
      </c>
      <c r="B129" s="5" t="s">
        <v>164</v>
      </c>
      <c r="C129" s="8">
        <v>551749</v>
      </c>
      <c r="D129" s="8" t="s">
        <v>198</v>
      </c>
      <c r="E129" s="35" t="s">
        <v>200</v>
      </c>
      <c r="F129" s="8" t="s">
        <v>692</v>
      </c>
      <c r="G129" s="8" t="s">
        <v>692</v>
      </c>
      <c r="H129" s="8" t="s">
        <v>692</v>
      </c>
      <c r="I129" s="8" t="s">
        <v>692</v>
      </c>
      <c r="J129" s="54">
        <v>320046</v>
      </c>
      <c r="K129" s="54">
        <v>0</v>
      </c>
      <c r="L129" s="54">
        <v>320046</v>
      </c>
      <c r="M129" s="54">
        <v>272039.09999999998</v>
      </c>
      <c r="N129" s="54">
        <v>48006.900000000023</v>
      </c>
      <c r="O129" s="52">
        <v>0</v>
      </c>
      <c r="P129" s="4">
        <f t="shared" si="1"/>
        <v>1</v>
      </c>
      <c r="Q129" s="71"/>
      <c r="R129" s="71"/>
    </row>
    <row r="130" spans="1:18" x14ac:dyDescent="0.3">
      <c r="A130" s="5" t="s">
        <v>7</v>
      </c>
      <c r="B130" s="5" t="s">
        <v>164</v>
      </c>
      <c r="C130" s="8">
        <v>551749</v>
      </c>
      <c r="D130" s="8" t="s">
        <v>198</v>
      </c>
      <c r="E130" s="35" t="s">
        <v>201</v>
      </c>
      <c r="F130" s="8" t="s">
        <v>692</v>
      </c>
      <c r="G130" s="8" t="s">
        <v>692</v>
      </c>
      <c r="H130" s="8" t="s">
        <v>692</v>
      </c>
      <c r="I130" s="8" t="s">
        <v>692</v>
      </c>
      <c r="J130" s="54">
        <v>238240.65</v>
      </c>
      <c r="K130" s="54">
        <v>0</v>
      </c>
      <c r="L130" s="54">
        <v>238240.65</v>
      </c>
      <c r="M130" s="54">
        <v>202504.55249999999</v>
      </c>
      <c r="N130" s="54">
        <v>35736.097500000003</v>
      </c>
      <c r="O130" s="52">
        <v>0</v>
      </c>
      <c r="P130" s="4">
        <f t="shared" si="1"/>
        <v>1</v>
      </c>
      <c r="Q130" s="71"/>
      <c r="R130" s="71"/>
    </row>
    <row r="131" spans="1:18" x14ac:dyDescent="0.3">
      <c r="A131" s="5" t="s">
        <v>7</v>
      </c>
      <c r="B131" s="5" t="s">
        <v>164</v>
      </c>
      <c r="C131" s="8">
        <v>551749</v>
      </c>
      <c r="D131" s="8" t="s">
        <v>198</v>
      </c>
      <c r="E131" s="35" t="s">
        <v>202</v>
      </c>
      <c r="F131" s="8" t="s">
        <v>692</v>
      </c>
      <c r="G131" s="8" t="s">
        <v>692</v>
      </c>
      <c r="H131" s="8" t="s">
        <v>692</v>
      </c>
      <c r="I131" s="8" t="s">
        <v>692</v>
      </c>
      <c r="J131" s="54">
        <v>209838</v>
      </c>
      <c r="K131" s="54">
        <v>0</v>
      </c>
      <c r="L131" s="54">
        <v>209838</v>
      </c>
      <c r="M131" s="54">
        <v>178362.3</v>
      </c>
      <c r="N131" s="54">
        <v>31475.700000000012</v>
      </c>
      <c r="O131" s="52">
        <v>0</v>
      </c>
      <c r="P131" s="4">
        <f t="shared" ref="P131:P194" si="2">L131/J131</f>
        <v>1</v>
      </c>
      <c r="Q131" s="71"/>
      <c r="R131" s="71"/>
    </row>
    <row r="132" spans="1:18" ht="29.55" x14ac:dyDescent="0.3">
      <c r="A132" s="5" t="s">
        <v>7</v>
      </c>
      <c r="B132" s="5" t="s">
        <v>164</v>
      </c>
      <c r="C132" s="8">
        <v>551749</v>
      </c>
      <c r="D132" s="8" t="s">
        <v>198</v>
      </c>
      <c r="E132" s="35" t="s">
        <v>203</v>
      </c>
      <c r="F132" s="18" t="s">
        <v>692</v>
      </c>
      <c r="G132" s="18" t="s">
        <v>692</v>
      </c>
      <c r="H132" s="18" t="s">
        <v>692</v>
      </c>
      <c r="I132" s="18" t="s">
        <v>692</v>
      </c>
      <c r="J132" s="54">
        <v>70544</v>
      </c>
      <c r="K132" s="54">
        <v>0</v>
      </c>
      <c r="L132" s="54">
        <v>70544</v>
      </c>
      <c r="M132" s="54">
        <v>59962.400000000001</v>
      </c>
      <c r="N132" s="54">
        <v>10581.599999999999</v>
      </c>
      <c r="O132" s="52">
        <v>0</v>
      </c>
      <c r="P132" s="4">
        <f t="shared" si="2"/>
        <v>1</v>
      </c>
      <c r="Q132" s="71"/>
      <c r="R132" s="71"/>
    </row>
    <row r="133" spans="1:18" x14ac:dyDescent="0.3">
      <c r="A133" s="5" t="s">
        <v>7</v>
      </c>
      <c r="B133" s="5" t="s">
        <v>164</v>
      </c>
      <c r="C133" s="8">
        <v>551749</v>
      </c>
      <c r="D133" s="8" t="s">
        <v>198</v>
      </c>
      <c r="E133" s="38" t="s">
        <v>22</v>
      </c>
      <c r="F133" s="8" t="s">
        <v>692</v>
      </c>
      <c r="G133" s="8" t="s">
        <v>692</v>
      </c>
      <c r="H133" s="8" t="s">
        <v>692</v>
      </c>
      <c r="I133" s="8" t="s">
        <v>692</v>
      </c>
      <c r="J133" s="54">
        <v>161130</v>
      </c>
      <c r="K133" s="54">
        <v>0</v>
      </c>
      <c r="L133" s="54">
        <v>161130</v>
      </c>
      <c r="M133" s="54">
        <v>136960.5</v>
      </c>
      <c r="N133" s="54">
        <v>24169.5</v>
      </c>
      <c r="O133" s="52">
        <v>0</v>
      </c>
      <c r="P133" s="4">
        <f t="shared" si="2"/>
        <v>1</v>
      </c>
      <c r="Q133" s="71"/>
      <c r="R133" s="71"/>
    </row>
    <row r="134" spans="1:18" x14ac:dyDescent="0.3">
      <c r="A134" s="5" t="s">
        <v>7</v>
      </c>
      <c r="B134" s="5" t="s">
        <v>164</v>
      </c>
      <c r="C134" s="8">
        <v>473458</v>
      </c>
      <c r="D134" s="8" t="s">
        <v>204</v>
      </c>
      <c r="E134" s="35" t="s">
        <v>205</v>
      </c>
      <c r="F134" s="8" t="s">
        <v>692</v>
      </c>
      <c r="G134" s="8" t="s">
        <v>692</v>
      </c>
      <c r="H134" s="8" t="s">
        <v>692</v>
      </c>
      <c r="I134" s="8" t="s">
        <v>692</v>
      </c>
      <c r="J134" s="54">
        <v>662551.80000000005</v>
      </c>
      <c r="K134" s="54">
        <v>0</v>
      </c>
      <c r="L134" s="54">
        <v>662551.80000000005</v>
      </c>
      <c r="M134" s="54">
        <v>563169.03</v>
      </c>
      <c r="N134" s="54">
        <v>99382.770000000019</v>
      </c>
      <c r="O134" s="52">
        <v>0</v>
      </c>
      <c r="P134" s="4">
        <f t="shared" si="2"/>
        <v>1</v>
      </c>
      <c r="Q134" s="71"/>
      <c r="R134" s="71"/>
    </row>
    <row r="135" spans="1:18" ht="29.55" x14ac:dyDescent="0.3">
      <c r="A135" s="5" t="s">
        <v>7</v>
      </c>
      <c r="B135" s="5" t="s">
        <v>164</v>
      </c>
      <c r="C135" s="8">
        <v>473458</v>
      </c>
      <c r="D135" s="8" t="s">
        <v>206</v>
      </c>
      <c r="E135" s="35" t="s">
        <v>207</v>
      </c>
      <c r="F135" s="8" t="s">
        <v>692</v>
      </c>
      <c r="G135" s="8" t="s">
        <v>692</v>
      </c>
      <c r="H135" s="8" t="s">
        <v>692</v>
      </c>
      <c r="I135" s="8" t="s">
        <v>692</v>
      </c>
      <c r="J135" s="54">
        <v>129027</v>
      </c>
      <c r="K135" s="54">
        <v>0</v>
      </c>
      <c r="L135" s="54">
        <v>129027</v>
      </c>
      <c r="M135" s="54">
        <v>109672.95</v>
      </c>
      <c r="N135" s="54">
        <v>19354.050000000003</v>
      </c>
      <c r="O135" s="52">
        <v>0</v>
      </c>
      <c r="P135" s="4">
        <f t="shared" si="2"/>
        <v>1</v>
      </c>
      <c r="Q135" s="71"/>
      <c r="R135" s="71"/>
    </row>
    <row r="136" spans="1:18" ht="29.55" x14ac:dyDescent="0.3">
      <c r="A136" s="5" t="s">
        <v>7</v>
      </c>
      <c r="B136" s="5" t="s">
        <v>164</v>
      </c>
      <c r="C136" s="8">
        <v>473458</v>
      </c>
      <c r="D136" s="8" t="s">
        <v>204</v>
      </c>
      <c r="E136" s="35" t="s">
        <v>208</v>
      </c>
      <c r="F136" s="8" t="s">
        <v>692</v>
      </c>
      <c r="G136" s="8" t="s">
        <v>692</v>
      </c>
      <c r="H136" s="8" t="s">
        <v>692</v>
      </c>
      <c r="I136" s="8" t="s">
        <v>692</v>
      </c>
      <c r="J136" s="54">
        <v>119761.69</v>
      </c>
      <c r="K136" s="54">
        <v>0</v>
      </c>
      <c r="L136" s="54">
        <v>119761.69</v>
      </c>
      <c r="M136" s="54">
        <v>101797.4365</v>
      </c>
      <c r="N136" s="54">
        <v>17964.253500000006</v>
      </c>
      <c r="O136" s="52">
        <v>0</v>
      </c>
      <c r="P136" s="4">
        <f t="shared" si="2"/>
        <v>1</v>
      </c>
      <c r="Q136" s="71"/>
      <c r="R136" s="71"/>
    </row>
    <row r="137" spans="1:18" ht="29.55" x14ac:dyDescent="0.3">
      <c r="A137" s="5" t="s">
        <v>7</v>
      </c>
      <c r="B137" s="5" t="s">
        <v>164</v>
      </c>
      <c r="C137" s="8">
        <v>473458</v>
      </c>
      <c r="D137" s="8" t="s">
        <v>204</v>
      </c>
      <c r="E137" s="35" t="s">
        <v>209</v>
      </c>
      <c r="F137" s="8" t="s">
        <v>692</v>
      </c>
      <c r="G137" s="8" t="s">
        <v>692</v>
      </c>
      <c r="H137" s="8" t="s">
        <v>692</v>
      </c>
      <c r="I137" s="8" t="s">
        <v>692</v>
      </c>
      <c r="J137" s="54">
        <v>154527.73000000001</v>
      </c>
      <c r="K137" s="54">
        <v>0</v>
      </c>
      <c r="L137" s="54">
        <v>154527.73000000001</v>
      </c>
      <c r="M137" s="54">
        <v>131348.5705</v>
      </c>
      <c r="N137" s="54">
        <v>23179.159500000009</v>
      </c>
      <c r="O137" s="52">
        <v>0</v>
      </c>
      <c r="P137" s="4">
        <f t="shared" si="2"/>
        <v>1</v>
      </c>
      <c r="Q137" s="71"/>
      <c r="R137" s="71"/>
    </row>
    <row r="138" spans="1:18" ht="29.55" x14ac:dyDescent="0.3">
      <c r="A138" s="5" t="s">
        <v>7</v>
      </c>
      <c r="B138" s="5" t="s">
        <v>164</v>
      </c>
      <c r="C138" s="8">
        <v>473458</v>
      </c>
      <c r="D138" s="8" t="s">
        <v>204</v>
      </c>
      <c r="E138" s="35" t="s">
        <v>210</v>
      </c>
      <c r="F138" s="8" t="s">
        <v>692</v>
      </c>
      <c r="G138" s="8" t="s">
        <v>692</v>
      </c>
      <c r="H138" s="8" t="s">
        <v>692</v>
      </c>
      <c r="I138" s="8" t="s">
        <v>692</v>
      </c>
      <c r="J138" s="54">
        <v>150000</v>
      </c>
      <c r="K138" s="54">
        <v>0</v>
      </c>
      <c r="L138" s="54">
        <v>150000</v>
      </c>
      <c r="M138" s="54">
        <v>127500</v>
      </c>
      <c r="N138" s="54">
        <v>22500</v>
      </c>
      <c r="O138" s="52">
        <v>0</v>
      </c>
      <c r="P138" s="4">
        <f t="shared" si="2"/>
        <v>1</v>
      </c>
      <c r="Q138" s="71"/>
      <c r="R138" s="71"/>
    </row>
    <row r="139" spans="1:18" x14ac:dyDescent="0.3">
      <c r="A139" s="5" t="s">
        <v>7</v>
      </c>
      <c r="B139" s="5" t="s">
        <v>164</v>
      </c>
      <c r="C139" s="8">
        <v>473458</v>
      </c>
      <c r="D139" s="8" t="s">
        <v>204</v>
      </c>
      <c r="E139" s="35" t="s">
        <v>211</v>
      </c>
      <c r="F139" s="8" t="s">
        <v>692</v>
      </c>
      <c r="G139" s="8" t="s">
        <v>692</v>
      </c>
      <c r="H139" s="8" t="s">
        <v>692</v>
      </c>
      <c r="I139" s="8" t="s">
        <v>692</v>
      </c>
      <c r="J139" s="54">
        <v>177120</v>
      </c>
      <c r="K139" s="54">
        <v>0</v>
      </c>
      <c r="L139" s="54">
        <v>177120</v>
      </c>
      <c r="M139" s="54">
        <v>150552</v>
      </c>
      <c r="N139" s="54">
        <v>26568</v>
      </c>
      <c r="O139" s="52">
        <v>0</v>
      </c>
      <c r="P139" s="4">
        <f t="shared" si="2"/>
        <v>1</v>
      </c>
      <c r="Q139" s="71"/>
      <c r="R139" s="71"/>
    </row>
    <row r="140" spans="1:18" x14ac:dyDescent="0.3">
      <c r="A140" s="5" t="s">
        <v>7</v>
      </c>
      <c r="B140" s="5" t="s">
        <v>164</v>
      </c>
      <c r="C140" s="8">
        <v>473458</v>
      </c>
      <c r="D140" s="8" t="s">
        <v>204</v>
      </c>
      <c r="E140" s="35" t="s">
        <v>212</v>
      </c>
      <c r="F140" s="8" t="s">
        <v>692</v>
      </c>
      <c r="G140" s="8" t="s">
        <v>692</v>
      </c>
      <c r="H140" s="8" t="s">
        <v>692</v>
      </c>
      <c r="I140" s="8" t="s">
        <v>692</v>
      </c>
      <c r="J140" s="54">
        <v>200244</v>
      </c>
      <c r="K140" s="54">
        <v>30036.6</v>
      </c>
      <c r="L140" s="54">
        <v>170207.4</v>
      </c>
      <c r="M140" s="54">
        <v>170207.4</v>
      </c>
      <c r="N140" s="54">
        <v>0</v>
      </c>
      <c r="O140" s="52">
        <v>0</v>
      </c>
      <c r="P140" s="4">
        <f t="shared" si="2"/>
        <v>0.85</v>
      </c>
      <c r="Q140" s="71"/>
      <c r="R140" s="71"/>
    </row>
    <row r="141" spans="1:18" x14ac:dyDescent="0.3">
      <c r="A141" s="5" t="s">
        <v>7</v>
      </c>
      <c r="B141" s="5" t="s">
        <v>164</v>
      </c>
      <c r="C141" s="8">
        <v>473458</v>
      </c>
      <c r="D141" s="8" t="s">
        <v>204</v>
      </c>
      <c r="E141" s="35" t="s">
        <v>213</v>
      </c>
      <c r="F141" s="8" t="s">
        <v>692</v>
      </c>
      <c r="G141" s="8">
        <v>3286</v>
      </c>
      <c r="H141" s="8">
        <v>716453</v>
      </c>
      <c r="I141" s="8" t="s">
        <v>692</v>
      </c>
      <c r="J141" s="54">
        <v>227550</v>
      </c>
      <c r="K141" s="54">
        <v>34132.5</v>
      </c>
      <c r="L141" s="54">
        <v>193417.5</v>
      </c>
      <c r="M141" s="54">
        <v>193417.5</v>
      </c>
      <c r="N141" s="54">
        <v>0</v>
      </c>
      <c r="O141" s="52">
        <v>0</v>
      </c>
      <c r="P141" s="4">
        <f t="shared" si="2"/>
        <v>0.85</v>
      </c>
      <c r="Q141" s="71"/>
      <c r="R141" s="71"/>
    </row>
    <row r="142" spans="1:18" ht="29.55" x14ac:dyDescent="0.3">
      <c r="A142" s="5" t="s">
        <v>7</v>
      </c>
      <c r="B142" s="5" t="s">
        <v>164</v>
      </c>
      <c r="C142" s="8">
        <v>622393</v>
      </c>
      <c r="D142" s="8" t="s">
        <v>214</v>
      </c>
      <c r="E142" s="35" t="s">
        <v>215</v>
      </c>
      <c r="F142" s="8" t="s">
        <v>692</v>
      </c>
      <c r="G142" s="8" t="s">
        <v>692</v>
      </c>
      <c r="H142" s="8" t="s">
        <v>692</v>
      </c>
      <c r="I142" s="8" t="s">
        <v>692</v>
      </c>
      <c r="J142" s="54">
        <v>607270</v>
      </c>
      <c r="K142" s="54">
        <v>0</v>
      </c>
      <c r="L142" s="54">
        <v>607270</v>
      </c>
      <c r="M142" s="54">
        <v>516179.5</v>
      </c>
      <c r="N142" s="54">
        <v>91090.5</v>
      </c>
      <c r="O142" s="52">
        <v>0</v>
      </c>
      <c r="P142" s="4">
        <f t="shared" si="2"/>
        <v>1</v>
      </c>
      <c r="Q142" s="71"/>
      <c r="R142" s="71"/>
    </row>
    <row r="143" spans="1:18" x14ac:dyDescent="0.3">
      <c r="A143" s="5" t="s">
        <v>7</v>
      </c>
      <c r="B143" s="5" t="s">
        <v>164</v>
      </c>
      <c r="C143" s="8">
        <v>622393</v>
      </c>
      <c r="D143" s="8" t="s">
        <v>214</v>
      </c>
      <c r="E143" s="35" t="s">
        <v>216</v>
      </c>
      <c r="F143" s="8" t="s">
        <v>692</v>
      </c>
      <c r="G143" s="8" t="s">
        <v>692</v>
      </c>
      <c r="H143" s="8" t="s">
        <v>692</v>
      </c>
      <c r="I143" s="8" t="s">
        <v>692</v>
      </c>
      <c r="J143" s="54">
        <v>200000</v>
      </c>
      <c r="K143" s="54">
        <v>0</v>
      </c>
      <c r="L143" s="54">
        <v>200000</v>
      </c>
      <c r="M143" s="54">
        <v>170000</v>
      </c>
      <c r="N143" s="54">
        <v>30000</v>
      </c>
      <c r="O143" s="52">
        <v>0</v>
      </c>
      <c r="P143" s="4">
        <f t="shared" si="2"/>
        <v>1</v>
      </c>
      <c r="Q143" s="71"/>
      <c r="R143" s="71"/>
    </row>
    <row r="144" spans="1:18" x14ac:dyDescent="0.3">
      <c r="A144" s="5" t="s">
        <v>7</v>
      </c>
      <c r="B144" s="5" t="s">
        <v>164</v>
      </c>
      <c r="C144" s="8">
        <v>622393</v>
      </c>
      <c r="D144" s="8" t="s">
        <v>214</v>
      </c>
      <c r="E144" s="35" t="s">
        <v>217</v>
      </c>
      <c r="F144" s="8" t="s">
        <v>692</v>
      </c>
      <c r="G144" s="8" t="s">
        <v>692</v>
      </c>
      <c r="H144" s="8" t="s">
        <v>692</v>
      </c>
      <c r="I144" s="8" t="s">
        <v>692</v>
      </c>
      <c r="J144" s="54">
        <v>440500</v>
      </c>
      <c r="K144" s="54">
        <v>0</v>
      </c>
      <c r="L144" s="54">
        <v>440500</v>
      </c>
      <c r="M144" s="54">
        <v>374425</v>
      </c>
      <c r="N144" s="54">
        <v>66075</v>
      </c>
      <c r="O144" s="52">
        <v>0</v>
      </c>
      <c r="P144" s="4">
        <f t="shared" si="2"/>
        <v>1</v>
      </c>
      <c r="Q144" s="71"/>
      <c r="R144" s="71"/>
    </row>
    <row r="145" spans="1:18" x14ac:dyDescent="0.3">
      <c r="A145" s="5" t="s">
        <v>7</v>
      </c>
      <c r="B145" s="5" t="s">
        <v>164</v>
      </c>
      <c r="C145" s="8">
        <v>622393</v>
      </c>
      <c r="D145" s="8" t="s">
        <v>214</v>
      </c>
      <c r="E145" s="35" t="s">
        <v>218</v>
      </c>
      <c r="F145" s="8" t="s">
        <v>692</v>
      </c>
      <c r="G145" s="8" t="s">
        <v>692</v>
      </c>
      <c r="H145" s="8" t="s">
        <v>692</v>
      </c>
      <c r="I145" s="8" t="s">
        <v>692</v>
      </c>
      <c r="J145" s="54">
        <v>340315.9</v>
      </c>
      <c r="K145" s="54">
        <v>0</v>
      </c>
      <c r="L145" s="54">
        <v>340315.9</v>
      </c>
      <c r="M145" s="54">
        <v>289268.51500000001</v>
      </c>
      <c r="N145" s="54">
        <v>51047.375000000007</v>
      </c>
      <c r="O145" s="52">
        <v>0</v>
      </c>
      <c r="P145" s="4">
        <f t="shared" si="2"/>
        <v>1</v>
      </c>
      <c r="Q145" s="71"/>
      <c r="R145" s="71"/>
    </row>
    <row r="146" spans="1:18" ht="29.55" x14ac:dyDescent="0.3">
      <c r="A146" s="5" t="s">
        <v>7</v>
      </c>
      <c r="B146" s="5" t="s">
        <v>164</v>
      </c>
      <c r="C146" s="8">
        <v>622393</v>
      </c>
      <c r="D146" s="8" t="s">
        <v>214</v>
      </c>
      <c r="E146" s="35" t="s">
        <v>219</v>
      </c>
      <c r="F146" s="8" t="s">
        <v>692</v>
      </c>
      <c r="G146" s="8" t="s">
        <v>692</v>
      </c>
      <c r="H146" s="8" t="s">
        <v>692</v>
      </c>
      <c r="I146" s="8" t="s">
        <v>692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2">
        <v>0</v>
      </c>
      <c r="P146" s="4" t="e">
        <f t="shared" si="2"/>
        <v>#DIV/0!</v>
      </c>
      <c r="Q146" s="71"/>
      <c r="R146" s="71"/>
    </row>
    <row r="147" spans="1:18" x14ac:dyDescent="0.3">
      <c r="A147" s="5" t="s">
        <v>7</v>
      </c>
      <c r="B147" s="5" t="s">
        <v>164</v>
      </c>
      <c r="C147" s="8">
        <v>622393</v>
      </c>
      <c r="D147" s="8" t="s">
        <v>214</v>
      </c>
      <c r="E147" s="35" t="s">
        <v>220</v>
      </c>
      <c r="F147" s="11" t="s">
        <v>692</v>
      </c>
      <c r="G147" s="11">
        <v>3286</v>
      </c>
      <c r="H147" s="11">
        <v>716650</v>
      </c>
      <c r="I147" s="11">
        <v>993817</v>
      </c>
      <c r="J147" s="54">
        <v>18742.62</v>
      </c>
      <c r="K147" s="54">
        <v>3748.52</v>
      </c>
      <c r="L147" s="54">
        <v>14994.1</v>
      </c>
      <c r="M147" s="54">
        <v>14994.1</v>
      </c>
      <c r="N147" s="54">
        <v>0</v>
      </c>
      <c r="O147" s="52">
        <v>0</v>
      </c>
      <c r="P147" s="4">
        <f t="shared" si="2"/>
        <v>0.8000002134173344</v>
      </c>
      <c r="Q147" s="71"/>
      <c r="R147" s="71"/>
    </row>
    <row r="148" spans="1:18" ht="29.55" x14ac:dyDescent="0.3">
      <c r="A148" s="5" t="s">
        <v>7</v>
      </c>
      <c r="B148" s="5" t="s">
        <v>164</v>
      </c>
      <c r="C148" s="8">
        <v>481668</v>
      </c>
      <c r="D148" s="8" t="s">
        <v>221</v>
      </c>
      <c r="E148" s="39" t="s">
        <v>667</v>
      </c>
      <c r="F148" s="8" t="s">
        <v>692</v>
      </c>
      <c r="G148" s="8" t="s">
        <v>692</v>
      </c>
      <c r="H148" s="8" t="s">
        <v>692</v>
      </c>
      <c r="I148" s="8" t="s">
        <v>692</v>
      </c>
      <c r="J148" s="54">
        <v>680190</v>
      </c>
      <c r="K148" s="54">
        <v>0</v>
      </c>
      <c r="L148" s="54">
        <v>680190</v>
      </c>
      <c r="M148" s="54">
        <v>578161.5</v>
      </c>
      <c r="N148" s="54">
        <v>102028.5</v>
      </c>
      <c r="O148" s="52">
        <v>0</v>
      </c>
      <c r="P148" s="4">
        <f t="shared" si="2"/>
        <v>1</v>
      </c>
      <c r="Q148" s="71"/>
      <c r="R148" s="71"/>
    </row>
    <row r="149" spans="1:18" ht="29.55" x14ac:dyDescent="0.3">
      <c r="A149" s="5" t="s">
        <v>7</v>
      </c>
      <c r="B149" s="5" t="s">
        <v>164</v>
      </c>
      <c r="C149" s="8">
        <v>481668</v>
      </c>
      <c r="D149" s="8" t="s">
        <v>221</v>
      </c>
      <c r="E149" s="35" t="s">
        <v>222</v>
      </c>
      <c r="F149" s="8" t="s">
        <v>692</v>
      </c>
      <c r="G149" s="8" t="s">
        <v>692</v>
      </c>
      <c r="H149" s="8" t="s">
        <v>692</v>
      </c>
      <c r="I149" s="8" t="s">
        <v>692</v>
      </c>
      <c r="J149" s="54">
        <v>444153.57</v>
      </c>
      <c r="K149" s="54">
        <v>0</v>
      </c>
      <c r="L149" s="54">
        <v>444153.57</v>
      </c>
      <c r="M149" s="54">
        <v>377530.53450000001</v>
      </c>
      <c r="N149" s="54">
        <v>66623.035499999998</v>
      </c>
      <c r="O149" s="52">
        <v>0</v>
      </c>
      <c r="P149" s="4">
        <f t="shared" si="2"/>
        <v>1</v>
      </c>
      <c r="Q149" s="71"/>
      <c r="R149" s="71"/>
    </row>
    <row r="150" spans="1:18" x14ac:dyDescent="0.3">
      <c r="A150" s="5" t="s">
        <v>7</v>
      </c>
      <c r="B150" s="5" t="s">
        <v>164</v>
      </c>
      <c r="C150" s="8">
        <v>481668</v>
      </c>
      <c r="D150" s="8" t="s">
        <v>221</v>
      </c>
      <c r="E150" s="35" t="s">
        <v>223</v>
      </c>
      <c r="F150" s="8" t="s">
        <v>692</v>
      </c>
      <c r="G150" s="8" t="s">
        <v>692</v>
      </c>
      <c r="H150" s="8" t="s">
        <v>692</v>
      </c>
      <c r="I150" s="8" t="s">
        <v>692</v>
      </c>
      <c r="J150" s="54">
        <v>250004.77</v>
      </c>
      <c r="K150" s="54">
        <v>0</v>
      </c>
      <c r="L150" s="54">
        <v>250004.77</v>
      </c>
      <c r="M150" s="54">
        <v>212504.0545</v>
      </c>
      <c r="N150" s="54">
        <v>37500.715499999991</v>
      </c>
      <c r="O150" s="52">
        <v>0</v>
      </c>
      <c r="P150" s="4">
        <f t="shared" si="2"/>
        <v>1</v>
      </c>
      <c r="Q150" s="71"/>
      <c r="R150" s="71"/>
    </row>
    <row r="151" spans="1:18" x14ac:dyDescent="0.3">
      <c r="A151" s="5" t="s">
        <v>7</v>
      </c>
      <c r="B151" s="5" t="s">
        <v>164</v>
      </c>
      <c r="C151" s="8">
        <v>481668</v>
      </c>
      <c r="D151" s="8" t="s">
        <v>221</v>
      </c>
      <c r="E151" s="35" t="s">
        <v>224</v>
      </c>
      <c r="F151" s="8" t="s">
        <v>692</v>
      </c>
      <c r="G151" s="8" t="s">
        <v>692</v>
      </c>
      <c r="H151" s="8" t="s">
        <v>692</v>
      </c>
      <c r="I151" s="8" t="s">
        <v>692</v>
      </c>
      <c r="J151" s="54">
        <v>65128.5</v>
      </c>
      <c r="K151" s="54">
        <v>0</v>
      </c>
      <c r="L151" s="54">
        <v>65128.5</v>
      </c>
      <c r="M151" s="54">
        <v>55359.224999999999</v>
      </c>
      <c r="N151" s="54">
        <v>9769.2750000000015</v>
      </c>
      <c r="O151" s="52">
        <v>0</v>
      </c>
      <c r="P151" s="4">
        <f t="shared" si="2"/>
        <v>1</v>
      </c>
      <c r="Q151" s="71"/>
      <c r="R151" s="71"/>
    </row>
    <row r="152" spans="1:18" ht="29.55" x14ac:dyDescent="0.3">
      <c r="A152" s="5" t="s">
        <v>7</v>
      </c>
      <c r="B152" s="5" t="s">
        <v>164</v>
      </c>
      <c r="C152" s="8">
        <v>481668</v>
      </c>
      <c r="D152" s="8" t="s">
        <v>221</v>
      </c>
      <c r="E152" s="35" t="s">
        <v>225</v>
      </c>
      <c r="F152" s="8" t="s">
        <v>692</v>
      </c>
      <c r="G152" s="8" t="s">
        <v>692</v>
      </c>
      <c r="H152" s="8" t="s">
        <v>692</v>
      </c>
      <c r="I152" s="8" t="s">
        <v>692</v>
      </c>
      <c r="J152" s="54">
        <v>139236</v>
      </c>
      <c r="K152" s="54">
        <v>0</v>
      </c>
      <c r="L152" s="54">
        <v>139236</v>
      </c>
      <c r="M152" s="54">
        <v>118350.59999999999</v>
      </c>
      <c r="N152" s="54">
        <v>20885.400000000009</v>
      </c>
      <c r="O152" s="52">
        <v>0</v>
      </c>
      <c r="P152" s="4">
        <f t="shared" si="2"/>
        <v>1</v>
      </c>
      <c r="Q152" s="71"/>
      <c r="R152" s="71"/>
    </row>
    <row r="153" spans="1:18" x14ac:dyDescent="0.3">
      <c r="A153" s="5" t="s">
        <v>7</v>
      </c>
      <c r="B153" s="5" t="s">
        <v>164</v>
      </c>
      <c r="C153" s="8">
        <v>481668</v>
      </c>
      <c r="D153" s="8" t="s">
        <v>221</v>
      </c>
      <c r="E153" s="35" t="s">
        <v>226</v>
      </c>
      <c r="F153" s="8" t="s">
        <v>692</v>
      </c>
      <c r="G153" s="8" t="s">
        <v>692</v>
      </c>
      <c r="H153" s="8" t="s">
        <v>692</v>
      </c>
      <c r="I153" s="8" t="s">
        <v>692</v>
      </c>
      <c r="J153" s="54">
        <v>390648</v>
      </c>
      <c r="K153" s="54">
        <v>0</v>
      </c>
      <c r="L153" s="54">
        <v>390648</v>
      </c>
      <c r="M153" s="54">
        <v>332050.8</v>
      </c>
      <c r="N153" s="54">
        <v>58597.200000000012</v>
      </c>
      <c r="O153" s="52">
        <v>0</v>
      </c>
      <c r="P153" s="4">
        <f t="shared" si="2"/>
        <v>1</v>
      </c>
      <c r="Q153" s="71"/>
      <c r="R153" s="71"/>
    </row>
    <row r="154" spans="1:18" x14ac:dyDescent="0.3">
      <c r="A154" s="5" t="s">
        <v>7</v>
      </c>
      <c r="B154" s="5" t="s">
        <v>164</v>
      </c>
      <c r="C154" s="8">
        <v>489165</v>
      </c>
      <c r="D154" s="8" t="s">
        <v>227</v>
      </c>
      <c r="E154" s="35" t="s">
        <v>228</v>
      </c>
      <c r="F154" s="8" t="s">
        <v>692</v>
      </c>
      <c r="G154" s="8" t="s">
        <v>692</v>
      </c>
      <c r="H154" s="8" t="s">
        <v>692</v>
      </c>
      <c r="I154" s="8" t="s">
        <v>692</v>
      </c>
      <c r="J154" s="54">
        <v>766350.84</v>
      </c>
      <c r="K154" s="54">
        <v>0</v>
      </c>
      <c r="L154" s="54">
        <v>766350.84</v>
      </c>
      <c r="M154" s="54">
        <v>651398.21399999992</v>
      </c>
      <c r="N154" s="54">
        <v>114952.62600000005</v>
      </c>
      <c r="O154" s="52">
        <v>0</v>
      </c>
      <c r="P154" s="4">
        <f t="shared" si="2"/>
        <v>1</v>
      </c>
      <c r="Q154" s="71"/>
      <c r="R154" s="71"/>
    </row>
    <row r="155" spans="1:18" x14ac:dyDescent="0.3">
      <c r="A155" s="5" t="s">
        <v>7</v>
      </c>
      <c r="B155" s="5" t="s">
        <v>164</v>
      </c>
      <c r="C155" s="8">
        <v>489165</v>
      </c>
      <c r="D155" s="8" t="s">
        <v>227</v>
      </c>
      <c r="E155" s="35" t="s">
        <v>229</v>
      </c>
      <c r="F155" s="8" t="s">
        <v>692</v>
      </c>
      <c r="G155" s="8" t="s">
        <v>692</v>
      </c>
      <c r="H155" s="8" t="s">
        <v>692</v>
      </c>
      <c r="I155" s="8" t="s">
        <v>692</v>
      </c>
      <c r="J155" s="54">
        <v>321068.38</v>
      </c>
      <c r="K155" s="54">
        <v>0</v>
      </c>
      <c r="L155" s="54">
        <v>321068.38</v>
      </c>
      <c r="M155" s="54">
        <v>272908.12300000002</v>
      </c>
      <c r="N155" s="54">
        <v>48160.256999999983</v>
      </c>
      <c r="O155" s="52">
        <v>0</v>
      </c>
      <c r="P155" s="4">
        <f t="shared" si="2"/>
        <v>1</v>
      </c>
      <c r="Q155" s="71"/>
      <c r="R155" s="71"/>
    </row>
    <row r="156" spans="1:18" x14ac:dyDescent="0.3">
      <c r="A156" s="5" t="s">
        <v>7</v>
      </c>
      <c r="B156" s="5" t="s">
        <v>164</v>
      </c>
      <c r="C156" s="8">
        <v>489165</v>
      </c>
      <c r="D156" s="8" t="s">
        <v>227</v>
      </c>
      <c r="E156" s="35" t="s">
        <v>230</v>
      </c>
      <c r="F156" s="8" t="s">
        <v>692</v>
      </c>
      <c r="G156" s="8" t="s">
        <v>692</v>
      </c>
      <c r="H156" s="8" t="s">
        <v>692</v>
      </c>
      <c r="I156" s="8" t="s">
        <v>692</v>
      </c>
      <c r="J156" s="54">
        <v>54320.74</v>
      </c>
      <c r="K156" s="54">
        <v>0</v>
      </c>
      <c r="L156" s="54">
        <v>54320.74</v>
      </c>
      <c r="M156" s="54">
        <v>46172.628999999994</v>
      </c>
      <c r="N156" s="54">
        <v>8148.1110000000044</v>
      </c>
      <c r="O156" s="52">
        <v>0</v>
      </c>
      <c r="P156" s="4">
        <f t="shared" si="2"/>
        <v>1</v>
      </c>
      <c r="Q156" s="71"/>
      <c r="R156" s="71"/>
    </row>
    <row r="157" spans="1:18" x14ac:dyDescent="0.3">
      <c r="A157" s="5" t="s">
        <v>7</v>
      </c>
      <c r="B157" s="5" t="s">
        <v>164</v>
      </c>
      <c r="C157" s="8">
        <v>610541</v>
      </c>
      <c r="D157" s="8" t="s">
        <v>231</v>
      </c>
      <c r="E157" s="35" t="s">
        <v>232</v>
      </c>
      <c r="F157" s="8" t="s">
        <v>692</v>
      </c>
      <c r="G157" s="8" t="s">
        <v>692</v>
      </c>
      <c r="H157" s="8" t="s">
        <v>692</v>
      </c>
      <c r="I157" s="8" t="s">
        <v>692</v>
      </c>
      <c r="J157" s="54">
        <v>1449880</v>
      </c>
      <c r="K157" s="54">
        <v>0</v>
      </c>
      <c r="L157" s="54">
        <v>1449880</v>
      </c>
      <c r="M157" s="54">
        <v>1232398</v>
      </c>
      <c r="N157" s="54">
        <v>217482</v>
      </c>
      <c r="O157" s="52">
        <v>0</v>
      </c>
      <c r="P157" s="4">
        <f t="shared" si="2"/>
        <v>1</v>
      </c>
      <c r="Q157" s="71"/>
      <c r="R157" s="71"/>
    </row>
    <row r="158" spans="1:18" x14ac:dyDescent="0.3">
      <c r="A158" s="5" t="s">
        <v>7</v>
      </c>
      <c r="B158" s="5" t="s">
        <v>164</v>
      </c>
      <c r="C158" s="8">
        <v>605472</v>
      </c>
      <c r="D158" s="8" t="s">
        <v>233</v>
      </c>
      <c r="E158" s="35" t="s">
        <v>234</v>
      </c>
      <c r="F158" s="48" t="s">
        <v>692</v>
      </c>
      <c r="G158" s="48" t="s">
        <v>692</v>
      </c>
      <c r="H158" s="48" t="s">
        <v>692</v>
      </c>
      <c r="I158" s="48" t="s">
        <v>692</v>
      </c>
      <c r="J158" s="54">
        <v>538750</v>
      </c>
      <c r="K158" s="54">
        <v>0</v>
      </c>
      <c r="L158" s="54">
        <v>538750</v>
      </c>
      <c r="M158" s="54">
        <v>457937.5</v>
      </c>
      <c r="N158" s="54">
        <v>80812.5</v>
      </c>
      <c r="O158" s="52">
        <v>0</v>
      </c>
      <c r="P158" s="4">
        <f t="shared" si="2"/>
        <v>1</v>
      </c>
      <c r="Q158" s="71"/>
      <c r="R158" s="71"/>
    </row>
    <row r="159" spans="1:18" x14ac:dyDescent="0.3">
      <c r="A159" s="5" t="s">
        <v>7</v>
      </c>
      <c r="B159" s="5" t="s">
        <v>164</v>
      </c>
      <c r="C159" s="8">
        <v>605472</v>
      </c>
      <c r="D159" s="8" t="s">
        <v>233</v>
      </c>
      <c r="E159" s="37" t="s">
        <v>235</v>
      </c>
      <c r="F159" s="8" t="s">
        <v>692</v>
      </c>
      <c r="G159" s="8" t="s">
        <v>692</v>
      </c>
      <c r="H159" s="8" t="s">
        <v>692</v>
      </c>
      <c r="I159" s="8" t="s">
        <v>692</v>
      </c>
      <c r="J159" s="54">
        <v>493353</v>
      </c>
      <c r="K159" s="54">
        <v>0</v>
      </c>
      <c r="L159" s="54">
        <v>493353</v>
      </c>
      <c r="M159" s="54">
        <v>419350.05</v>
      </c>
      <c r="N159" s="54">
        <v>74002.950000000012</v>
      </c>
      <c r="O159" s="52">
        <v>0</v>
      </c>
      <c r="P159" s="4">
        <f t="shared" si="2"/>
        <v>1</v>
      </c>
      <c r="Q159" s="71"/>
      <c r="R159" s="71"/>
    </row>
    <row r="160" spans="1:18" ht="29.55" x14ac:dyDescent="0.3">
      <c r="A160" s="5" t="s">
        <v>7</v>
      </c>
      <c r="B160" s="5" t="s">
        <v>164</v>
      </c>
      <c r="C160" s="8">
        <v>605472</v>
      </c>
      <c r="D160" s="8" t="s">
        <v>233</v>
      </c>
      <c r="E160" s="35" t="s">
        <v>236</v>
      </c>
      <c r="F160" s="8" t="s">
        <v>692</v>
      </c>
      <c r="G160" s="8" t="s">
        <v>692</v>
      </c>
      <c r="H160" s="8" t="s">
        <v>692</v>
      </c>
      <c r="I160" s="8" t="s">
        <v>692</v>
      </c>
      <c r="J160" s="54">
        <v>344600</v>
      </c>
      <c r="K160" s="54">
        <v>0</v>
      </c>
      <c r="L160" s="54">
        <v>344600</v>
      </c>
      <c r="M160" s="54">
        <v>292910</v>
      </c>
      <c r="N160" s="54">
        <v>51690</v>
      </c>
      <c r="O160" s="52">
        <v>0</v>
      </c>
      <c r="P160" s="4">
        <f t="shared" si="2"/>
        <v>1</v>
      </c>
      <c r="Q160" s="71"/>
      <c r="R160" s="71"/>
    </row>
    <row r="161" spans="1:20" x14ac:dyDescent="0.3">
      <c r="A161" s="5" t="s">
        <v>7</v>
      </c>
      <c r="B161" s="5" t="s">
        <v>164</v>
      </c>
      <c r="C161" s="8">
        <v>605472</v>
      </c>
      <c r="D161" s="8" t="s">
        <v>233</v>
      </c>
      <c r="E161" s="35" t="s">
        <v>237</v>
      </c>
      <c r="F161" s="8" t="s">
        <v>692</v>
      </c>
      <c r="G161" s="8" t="s">
        <v>692</v>
      </c>
      <c r="H161" s="8" t="s">
        <v>692</v>
      </c>
      <c r="I161" s="8" t="s">
        <v>692</v>
      </c>
      <c r="J161" s="54">
        <v>27500</v>
      </c>
      <c r="K161" s="54">
        <v>4125</v>
      </c>
      <c r="L161" s="54">
        <v>23375</v>
      </c>
      <c r="M161" s="54">
        <v>23375</v>
      </c>
      <c r="N161" s="54">
        <v>0</v>
      </c>
      <c r="O161" s="52">
        <v>0</v>
      </c>
      <c r="P161" s="4">
        <f t="shared" si="2"/>
        <v>0.85</v>
      </c>
      <c r="Q161" s="71"/>
      <c r="R161" s="71"/>
    </row>
    <row r="162" spans="1:20" x14ac:dyDescent="0.3">
      <c r="A162" s="5" t="s">
        <v>7</v>
      </c>
      <c r="B162" s="5" t="s">
        <v>164</v>
      </c>
      <c r="C162" s="8">
        <v>605472</v>
      </c>
      <c r="D162" s="8" t="s">
        <v>233</v>
      </c>
      <c r="E162" s="35" t="s">
        <v>238</v>
      </c>
      <c r="F162" s="8" t="s">
        <v>692</v>
      </c>
      <c r="G162" s="8" t="s">
        <v>692</v>
      </c>
      <c r="H162" s="8" t="s">
        <v>692</v>
      </c>
      <c r="I162" s="8" t="s">
        <v>692</v>
      </c>
      <c r="J162" s="54">
        <v>174800</v>
      </c>
      <c r="K162" s="54">
        <v>0</v>
      </c>
      <c r="L162" s="54">
        <v>174800</v>
      </c>
      <c r="M162" s="54">
        <v>148580</v>
      </c>
      <c r="N162" s="54">
        <v>26220</v>
      </c>
      <c r="O162" s="52">
        <v>0</v>
      </c>
      <c r="P162" s="4">
        <f t="shared" si="2"/>
        <v>1</v>
      </c>
      <c r="Q162" s="71"/>
      <c r="R162" s="71"/>
    </row>
    <row r="163" spans="1:20" ht="29.55" x14ac:dyDescent="0.3">
      <c r="A163" s="5" t="s">
        <v>7</v>
      </c>
      <c r="B163" s="5" t="s">
        <v>164</v>
      </c>
      <c r="C163" s="8">
        <v>636517</v>
      </c>
      <c r="D163" s="8" t="s">
        <v>239</v>
      </c>
      <c r="E163" s="35" t="s">
        <v>240</v>
      </c>
      <c r="F163" s="8" t="s">
        <v>692</v>
      </c>
      <c r="G163" s="8" t="s">
        <v>692</v>
      </c>
      <c r="H163" s="8" t="s">
        <v>692</v>
      </c>
      <c r="I163" s="8" t="s">
        <v>692</v>
      </c>
      <c r="J163" s="54">
        <v>185730</v>
      </c>
      <c r="K163" s="54">
        <v>0</v>
      </c>
      <c r="L163" s="54">
        <v>185730</v>
      </c>
      <c r="M163" s="54">
        <v>157870.5</v>
      </c>
      <c r="N163" s="54">
        <v>27859.5</v>
      </c>
      <c r="O163" s="52">
        <v>0</v>
      </c>
      <c r="P163" s="4">
        <f t="shared" si="2"/>
        <v>1</v>
      </c>
      <c r="Q163" s="71"/>
      <c r="R163" s="71"/>
    </row>
    <row r="164" spans="1:20" ht="29.55" x14ac:dyDescent="0.3">
      <c r="A164" s="5" t="s">
        <v>7</v>
      </c>
      <c r="B164" s="5" t="s">
        <v>164</v>
      </c>
      <c r="C164" s="8">
        <v>636517</v>
      </c>
      <c r="D164" s="8" t="s">
        <v>239</v>
      </c>
      <c r="E164" s="35" t="s">
        <v>241</v>
      </c>
      <c r="F164" s="8" t="s">
        <v>692</v>
      </c>
      <c r="G164" s="8" t="s">
        <v>692</v>
      </c>
      <c r="H164" s="8" t="s">
        <v>692</v>
      </c>
      <c r="I164" s="8" t="s">
        <v>692</v>
      </c>
      <c r="J164" s="54">
        <v>103461.4</v>
      </c>
      <c r="K164" s="54">
        <v>0</v>
      </c>
      <c r="L164" s="54">
        <v>103461.4</v>
      </c>
      <c r="M164" s="54">
        <v>87942.189999999988</v>
      </c>
      <c r="N164" s="54">
        <v>15519.210000000006</v>
      </c>
      <c r="O164" s="52">
        <v>0</v>
      </c>
      <c r="P164" s="4">
        <f t="shared" si="2"/>
        <v>1</v>
      </c>
      <c r="Q164" s="71"/>
      <c r="R164" s="71"/>
    </row>
    <row r="165" spans="1:20" x14ac:dyDescent="0.3">
      <c r="A165" s="5" t="s">
        <v>7</v>
      </c>
      <c r="B165" s="5" t="s">
        <v>164</v>
      </c>
      <c r="C165" s="8">
        <v>636517</v>
      </c>
      <c r="D165" s="8" t="s">
        <v>239</v>
      </c>
      <c r="E165" s="35" t="s">
        <v>242</v>
      </c>
      <c r="F165" s="8" t="s">
        <v>692</v>
      </c>
      <c r="G165" s="8" t="s">
        <v>692</v>
      </c>
      <c r="H165" s="8" t="s">
        <v>692</v>
      </c>
      <c r="I165" s="8" t="s">
        <v>692</v>
      </c>
      <c r="J165" s="54">
        <v>916027</v>
      </c>
      <c r="K165" s="54">
        <v>0</v>
      </c>
      <c r="L165" s="54">
        <v>916027</v>
      </c>
      <c r="M165" s="54">
        <v>778622.95</v>
      </c>
      <c r="N165" s="54">
        <v>137404.05000000005</v>
      </c>
      <c r="O165" s="52">
        <v>0</v>
      </c>
      <c r="P165" s="4">
        <f t="shared" si="2"/>
        <v>1</v>
      </c>
      <c r="Q165" s="71"/>
      <c r="R165" s="71"/>
    </row>
    <row r="166" spans="1:20" x14ac:dyDescent="0.3">
      <c r="A166" s="5" t="s">
        <v>7</v>
      </c>
      <c r="B166" s="5" t="s">
        <v>164</v>
      </c>
      <c r="C166" s="8">
        <v>636517</v>
      </c>
      <c r="D166" s="8" t="s">
        <v>239</v>
      </c>
      <c r="E166" s="35" t="s">
        <v>243</v>
      </c>
      <c r="F166" s="48" t="s">
        <v>692</v>
      </c>
      <c r="G166" s="48" t="s">
        <v>692</v>
      </c>
      <c r="H166" s="48" t="s">
        <v>692</v>
      </c>
      <c r="I166" s="48" t="s">
        <v>692</v>
      </c>
      <c r="J166" s="54">
        <v>749781.6</v>
      </c>
      <c r="K166" s="54">
        <v>0</v>
      </c>
      <c r="L166" s="54">
        <v>749781.6</v>
      </c>
      <c r="M166" s="54">
        <v>637314.36</v>
      </c>
      <c r="N166" s="54">
        <v>112467.23999999999</v>
      </c>
      <c r="O166" s="52">
        <v>0</v>
      </c>
      <c r="P166" s="4">
        <f t="shared" si="2"/>
        <v>1</v>
      </c>
      <c r="Q166" s="71"/>
      <c r="R166" s="71"/>
    </row>
    <row r="167" spans="1:20" x14ac:dyDescent="0.3">
      <c r="A167" s="5" t="s">
        <v>7</v>
      </c>
      <c r="B167" s="5" t="s">
        <v>164</v>
      </c>
      <c r="C167" s="8">
        <v>635480</v>
      </c>
      <c r="D167" s="8" t="s">
        <v>244</v>
      </c>
      <c r="E167" s="37" t="s">
        <v>245</v>
      </c>
      <c r="F167" s="48" t="s">
        <v>692</v>
      </c>
      <c r="G167" s="48" t="s">
        <v>692</v>
      </c>
      <c r="H167" s="48" t="s">
        <v>692</v>
      </c>
      <c r="I167" s="48" t="s">
        <v>692</v>
      </c>
      <c r="J167" s="54">
        <v>509263.22</v>
      </c>
      <c r="K167" s="54">
        <v>0</v>
      </c>
      <c r="L167" s="54">
        <f>J167</f>
        <v>509263.22</v>
      </c>
      <c r="M167" s="54">
        <f>L167*0.85</f>
        <v>432873.73699999996</v>
      </c>
      <c r="N167" s="54">
        <f>L167-M167</f>
        <v>76389.483000000007</v>
      </c>
      <c r="O167" s="52">
        <v>0</v>
      </c>
      <c r="P167" s="4">
        <f t="shared" si="2"/>
        <v>1</v>
      </c>
      <c r="Q167" s="71">
        <v>38329.448856810923</v>
      </c>
      <c r="R167" s="71">
        <v>38329.448856810923</v>
      </c>
      <c r="S167" s="81">
        <f>R167*0.85</f>
        <v>32580.031528289284</v>
      </c>
      <c r="T167" s="81">
        <f>R167-S167</f>
        <v>5749.4173285216384</v>
      </c>
    </row>
    <row r="168" spans="1:20" ht="29.55" x14ac:dyDescent="0.3">
      <c r="A168" s="5" t="s">
        <v>7</v>
      </c>
      <c r="B168" s="5" t="s">
        <v>164</v>
      </c>
      <c r="C168" s="8">
        <v>635480</v>
      </c>
      <c r="D168" s="8" t="s">
        <v>244</v>
      </c>
      <c r="E168" s="37" t="s">
        <v>246</v>
      </c>
      <c r="F168" s="48" t="s">
        <v>692</v>
      </c>
      <c r="G168" s="48" t="s">
        <v>692</v>
      </c>
      <c r="H168" s="48" t="s">
        <v>692</v>
      </c>
      <c r="I168" s="48" t="s">
        <v>692</v>
      </c>
      <c r="J168" s="54">
        <v>317123.20000000013</v>
      </c>
      <c r="K168" s="54">
        <v>0</v>
      </c>
      <c r="L168" s="54">
        <v>317123.20000000013</v>
      </c>
      <c r="M168" s="54">
        <v>269554.72000000009</v>
      </c>
      <c r="N168" s="54">
        <v>47568.48000000004</v>
      </c>
      <c r="O168" s="52">
        <v>0</v>
      </c>
      <c r="P168" s="4">
        <f t="shared" si="2"/>
        <v>1</v>
      </c>
      <c r="Q168" s="71"/>
      <c r="R168" s="71"/>
    </row>
    <row r="169" spans="1:20" x14ac:dyDescent="0.3">
      <c r="A169" s="5" t="s">
        <v>7</v>
      </c>
      <c r="B169" s="5" t="s">
        <v>164</v>
      </c>
      <c r="C169" s="8">
        <v>635480</v>
      </c>
      <c r="D169" s="8" t="s">
        <v>244</v>
      </c>
      <c r="E169" s="37" t="s">
        <v>247</v>
      </c>
      <c r="F169" s="48" t="s">
        <v>692</v>
      </c>
      <c r="G169" s="48" t="s">
        <v>692</v>
      </c>
      <c r="H169" s="48" t="s">
        <v>692</v>
      </c>
      <c r="I169" s="48" t="s">
        <v>692</v>
      </c>
      <c r="J169" s="54">
        <v>469416.15999999963</v>
      </c>
      <c r="K169" s="54">
        <v>0</v>
      </c>
      <c r="L169" s="54">
        <v>469416.15999999963</v>
      </c>
      <c r="M169" s="54">
        <v>399003.73599999968</v>
      </c>
      <c r="N169" s="54">
        <v>70412.423999999941</v>
      </c>
      <c r="O169" s="52">
        <v>0</v>
      </c>
      <c r="P169" s="4">
        <f t="shared" si="2"/>
        <v>1</v>
      </c>
      <c r="Q169" s="71"/>
      <c r="R169" s="71"/>
    </row>
    <row r="170" spans="1:20" ht="29.55" x14ac:dyDescent="0.3">
      <c r="A170" s="5" t="s">
        <v>7</v>
      </c>
      <c r="B170" s="5" t="s">
        <v>164</v>
      </c>
      <c r="C170" s="8">
        <v>635480</v>
      </c>
      <c r="D170" s="8" t="s">
        <v>244</v>
      </c>
      <c r="E170" s="37" t="s">
        <v>248</v>
      </c>
      <c r="F170" s="48" t="s">
        <v>692</v>
      </c>
      <c r="G170" s="48" t="s">
        <v>692</v>
      </c>
      <c r="H170" s="48" t="s">
        <v>692</v>
      </c>
      <c r="I170" s="48" t="s">
        <v>692</v>
      </c>
      <c r="J170" s="54">
        <v>122591.55999999953</v>
      </c>
      <c r="K170" s="54">
        <v>0</v>
      </c>
      <c r="L170" s="54">
        <v>122591.55999999953</v>
      </c>
      <c r="M170" s="54">
        <v>104202.82599999959</v>
      </c>
      <c r="N170" s="54">
        <v>18388.733999999939</v>
      </c>
      <c r="O170" s="52">
        <v>0</v>
      </c>
      <c r="P170" s="4">
        <f t="shared" si="2"/>
        <v>1</v>
      </c>
      <c r="Q170" s="71"/>
      <c r="R170" s="71"/>
    </row>
    <row r="171" spans="1:20" ht="29.55" x14ac:dyDescent="0.3">
      <c r="A171" s="5" t="s">
        <v>7</v>
      </c>
      <c r="B171" s="5" t="s">
        <v>164</v>
      </c>
      <c r="C171" s="8">
        <v>635480</v>
      </c>
      <c r="D171" s="8" t="s">
        <v>244</v>
      </c>
      <c r="E171" s="37" t="s">
        <v>249</v>
      </c>
      <c r="F171" s="8" t="s">
        <v>692</v>
      </c>
      <c r="G171" s="8" t="s">
        <v>692</v>
      </c>
      <c r="H171" s="8" t="s">
        <v>692</v>
      </c>
      <c r="I171" s="8" t="s">
        <v>692</v>
      </c>
      <c r="J171" s="54">
        <v>436667.32</v>
      </c>
      <c r="K171" s="54">
        <v>0</v>
      </c>
      <c r="L171" s="54">
        <v>436667.32</v>
      </c>
      <c r="M171" s="54">
        <f>L171*0.85</f>
        <v>371167.22200000001</v>
      </c>
      <c r="N171" s="54">
        <f>L171-M171</f>
        <v>65500.097999999998</v>
      </c>
      <c r="O171" s="52">
        <v>0</v>
      </c>
      <c r="P171" s="4">
        <f t="shared" si="2"/>
        <v>1</v>
      </c>
      <c r="Q171" s="71">
        <v>798.53951844689436</v>
      </c>
      <c r="R171" s="71">
        <v>798.53951844689436</v>
      </c>
      <c r="S171" s="81">
        <f t="shared" ref="S171:S234" si="3">R171*0.85</f>
        <v>678.75859067986016</v>
      </c>
      <c r="T171" s="81">
        <f t="shared" ref="T171:T172" si="4">R171-S171</f>
        <v>119.7809277670342</v>
      </c>
    </row>
    <row r="172" spans="1:20" ht="29.55" x14ac:dyDescent="0.3">
      <c r="A172" s="5" t="s">
        <v>7</v>
      </c>
      <c r="B172" s="5" t="s">
        <v>164</v>
      </c>
      <c r="C172" s="8">
        <v>635480</v>
      </c>
      <c r="D172" s="8" t="s">
        <v>244</v>
      </c>
      <c r="E172" s="35" t="s">
        <v>250</v>
      </c>
      <c r="F172" s="8" t="s">
        <v>692</v>
      </c>
      <c r="G172" s="8" t="s">
        <v>692</v>
      </c>
      <c r="H172" s="8" t="s">
        <v>692</v>
      </c>
      <c r="I172" s="8" t="s">
        <v>692</v>
      </c>
      <c r="J172" s="54">
        <v>38725.51</v>
      </c>
      <c r="K172" s="54">
        <v>0</v>
      </c>
      <c r="L172" s="54">
        <v>38725.51</v>
      </c>
      <c r="M172" s="54">
        <f>L172*0.85</f>
        <v>32916.683499999999</v>
      </c>
      <c r="N172" s="54">
        <f>L172-M172</f>
        <v>5808.8265000000029</v>
      </c>
      <c r="O172" s="52">
        <v>0</v>
      </c>
      <c r="P172" s="4">
        <f t="shared" si="2"/>
        <v>1</v>
      </c>
      <c r="Q172" s="71">
        <v>5163.6349280001741</v>
      </c>
      <c r="R172" s="71">
        <v>5163.6349280001741</v>
      </c>
      <c r="S172" s="81">
        <f t="shared" si="3"/>
        <v>4389.089688800148</v>
      </c>
      <c r="T172" s="81">
        <f t="shared" si="4"/>
        <v>774.54523920002612</v>
      </c>
    </row>
    <row r="173" spans="1:20" x14ac:dyDescent="0.3">
      <c r="A173" s="5" t="s">
        <v>7</v>
      </c>
      <c r="B173" s="5" t="s">
        <v>164</v>
      </c>
      <c r="C173" s="8">
        <v>473472</v>
      </c>
      <c r="D173" s="8" t="s">
        <v>251</v>
      </c>
      <c r="E173" s="35" t="s">
        <v>252</v>
      </c>
      <c r="F173" s="48" t="s">
        <v>692</v>
      </c>
      <c r="G173" s="48" t="s">
        <v>692</v>
      </c>
      <c r="H173" s="48" t="s">
        <v>692</v>
      </c>
      <c r="I173" s="48" t="s">
        <v>692</v>
      </c>
      <c r="J173" s="54">
        <v>514650</v>
      </c>
      <c r="K173" s="54">
        <v>0</v>
      </c>
      <c r="L173" s="54">
        <v>514650</v>
      </c>
      <c r="M173" s="54">
        <v>437452.5</v>
      </c>
      <c r="N173" s="54">
        <v>77197.5</v>
      </c>
      <c r="O173" s="52">
        <v>0</v>
      </c>
      <c r="P173" s="4">
        <f t="shared" si="2"/>
        <v>1</v>
      </c>
      <c r="Q173" s="71"/>
      <c r="R173" s="71"/>
      <c r="S173" s="3">
        <f t="shared" si="3"/>
        <v>0</v>
      </c>
    </row>
    <row r="174" spans="1:20" x14ac:dyDescent="0.3">
      <c r="A174" s="5" t="s">
        <v>7</v>
      </c>
      <c r="B174" s="5" t="s">
        <v>164</v>
      </c>
      <c r="C174" s="8">
        <v>473472</v>
      </c>
      <c r="D174" s="8" t="s">
        <v>251</v>
      </c>
      <c r="E174" s="37" t="s">
        <v>253</v>
      </c>
      <c r="F174" s="8" t="s">
        <v>692</v>
      </c>
      <c r="G174" s="8" t="s">
        <v>692</v>
      </c>
      <c r="H174" s="8" t="s">
        <v>692</v>
      </c>
      <c r="I174" s="8" t="s">
        <v>692</v>
      </c>
      <c r="J174" s="54">
        <v>1933.91</v>
      </c>
      <c r="K174" s="54">
        <v>0</v>
      </c>
      <c r="L174" s="54">
        <v>1933.91</v>
      </c>
      <c r="M174" s="54">
        <v>1643.8235</v>
      </c>
      <c r="N174" s="54">
        <v>290.08650000000011</v>
      </c>
      <c r="O174" s="52">
        <v>0</v>
      </c>
      <c r="P174" s="4">
        <f t="shared" si="2"/>
        <v>1</v>
      </c>
      <c r="Q174" s="71"/>
      <c r="R174" s="71"/>
      <c r="S174" s="3">
        <f t="shared" si="3"/>
        <v>0</v>
      </c>
    </row>
    <row r="175" spans="1:20" x14ac:dyDescent="0.3">
      <c r="A175" s="5" t="s">
        <v>7</v>
      </c>
      <c r="B175" s="5" t="s">
        <v>164</v>
      </c>
      <c r="C175" s="8">
        <v>473472</v>
      </c>
      <c r="D175" s="8" t="s">
        <v>251</v>
      </c>
      <c r="E175" s="35" t="s">
        <v>254</v>
      </c>
      <c r="F175" s="8" t="s">
        <v>692</v>
      </c>
      <c r="G175" s="8" t="s">
        <v>692</v>
      </c>
      <c r="H175" s="8" t="s">
        <v>692</v>
      </c>
      <c r="I175" s="8" t="s">
        <v>692</v>
      </c>
      <c r="J175" s="54">
        <v>671256.76</v>
      </c>
      <c r="K175" s="54">
        <v>0</v>
      </c>
      <c r="L175" s="54">
        <v>671256.76</v>
      </c>
      <c r="M175" s="54">
        <v>570568.24600000004</v>
      </c>
      <c r="N175" s="54">
        <v>100688.51399999997</v>
      </c>
      <c r="O175" s="52">
        <v>0</v>
      </c>
      <c r="P175" s="4">
        <f t="shared" si="2"/>
        <v>1</v>
      </c>
      <c r="Q175" s="71"/>
      <c r="R175" s="71"/>
      <c r="S175" s="3">
        <f t="shared" si="3"/>
        <v>0</v>
      </c>
    </row>
    <row r="176" spans="1:20" x14ac:dyDescent="0.3">
      <c r="A176" s="5" t="s">
        <v>7</v>
      </c>
      <c r="B176" s="5" t="s">
        <v>164</v>
      </c>
      <c r="C176" s="8">
        <v>473472</v>
      </c>
      <c r="D176" s="8" t="s">
        <v>251</v>
      </c>
      <c r="E176" s="35" t="s">
        <v>255</v>
      </c>
      <c r="F176" s="8" t="s">
        <v>692</v>
      </c>
      <c r="G176" s="8" t="s">
        <v>692</v>
      </c>
      <c r="H176" s="8" t="s">
        <v>692</v>
      </c>
      <c r="I176" s="8" t="s">
        <v>692</v>
      </c>
      <c r="J176" s="54">
        <v>172339.12</v>
      </c>
      <c r="K176" s="54">
        <v>0</v>
      </c>
      <c r="L176" s="54">
        <v>172339.12</v>
      </c>
      <c r="M176" s="54">
        <v>146488.25199999998</v>
      </c>
      <c r="N176" s="54">
        <v>25850.868000000017</v>
      </c>
      <c r="O176" s="52">
        <v>0</v>
      </c>
      <c r="P176" s="4">
        <f t="shared" si="2"/>
        <v>1</v>
      </c>
      <c r="Q176" s="71"/>
      <c r="R176" s="71"/>
      <c r="S176" s="3">
        <f t="shared" si="3"/>
        <v>0</v>
      </c>
    </row>
    <row r="177" spans="1:22" ht="29.55" x14ac:dyDescent="0.3">
      <c r="A177" s="5" t="s">
        <v>7</v>
      </c>
      <c r="B177" s="5" t="s">
        <v>164</v>
      </c>
      <c r="C177" s="8">
        <v>473472</v>
      </c>
      <c r="D177" s="8" t="s">
        <v>251</v>
      </c>
      <c r="E177" s="35" t="s">
        <v>256</v>
      </c>
      <c r="F177" s="8" t="s">
        <v>692</v>
      </c>
      <c r="G177" s="8" t="s">
        <v>692</v>
      </c>
      <c r="H177" s="8" t="s">
        <v>692</v>
      </c>
      <c r="I177" s="8" t="s">
        <v>692</v>
      </c>
      <c r="J177" s="54">
        <v>95218.53</v>
      </c>
      <c r="K177" s="54">
        <v>14282.78</v>
      </c>
      <c r="L177" s="54">
        <v>80935.75</v>
      </c>
      <c r="M177" s="54">
        <v>80935.75</v>
      </c>
      <c r="N177" s="54">
        <v>0</v>
      </c>
      <c r="O177" s="52">
        <v>0</v>
      </c>
      <c r="P177" s="4">
        <f t="shared" si="2"/>
        <v>0.84999999474892129</v>
      </c>
      <c r="Q177" s="71"/>
      <c r="R177" s="71"/>
      <c r="S177" s="3">
        <f t="shared" si="3"/>
        <v>0</v>
      </c>
    </row>
    <row r="178" spans="1:22" x14ac:dyDescent="0.3">
      <c r="A178" s="5" t="s">
        <v>7</v>
      </c>
      <c r="B178" s="5" t="s">
        <v>164</v>
      </c>
      <c r="C178" s="8">
        <v>473472</v>
      </c>
      <c r="D178" s="8" t="s">
        <v>251</v>
      </c>
      <c r="E178" s="35" t="s">
        <v>257</v>
      </c>
      <c r="F178" s="8" t="s">
        <v>692</v>
      </c>
      <c r="G178" s="8" t="s">
        <v>692</v>
      </c>
      <c r="H178" s="8" t="s">
        <v>692</v>
      </c>
      <c r="I178" s="8" t="s">
        <v>692</v>
      </c>
      <c r="J178" s="54">
        <v>293352.65000000002</v>
      </c>
      <c r="K178" s="54">
        <v>44003.120000000024</v>
      </c>
      <c r="L178" s="54">
        <v>249349.53</v>
      </c>
      <c r="M178" s="54">
        <v>249349.53</v>
      </c>
      <c r="N178" s="54">
        <v>0</v>
      </c>
      <c r="O178" s="52">
        <v>0</v>
      </c>
      <c r="P178" s="4">
        <f t="shared" si="2"/>
        <v>0.84999924152721984</v>
      </c>
      <c r="Q178" s="71"/>
      <c r="R178" s="71"/>
      <c r="S178" s="3">
        <f t="shared" si="3"/>
        <v>0</v>
      </c>
    </row>
    <row r="179" spans="1:22" ht="29.55" x14ac:dyDescent="0.3">
      <c r="A179" s="5" t="s">
        <v>7</v>
      </c>
      <c r="B179" s="5" t="s">
        <v>164</v>
      </c>
      <c r="C179" s="8">
        <v>540693</v>
      </c>
      <c r="D179" s="8" t="s">
        <v>258</v>
      </c>
      <c r="E179" s="35" t="s">
        <v>259</v>
      </c>
      <c r="F179" s="8" t="s">
        <v>692</v>
      </c>
      <c r="G179" s="8" t="s">
        <v>692</v>
      </c>
      <c r="H179" s="8" t="s">
        <v>692</v>
      </c>
      <c r="I179" s="8" t="s">
        <v>692</v>
      </c>
      <c r="J179" s="54">
        <v>698176.58400000003</v>
      </c>
      <c r="K179" s="54">
        <v>0</v>
      </c>
      <c r="L179" s="54">
        <v>698176.58400000003</v>
      </c>
      <c r="M179" s="54">
        <v>593450.09640000004</v>
      </c>
      <c r="N179" s="54">
        <v>104726.48759999999</v>
      </c>
      <c r="O179" s="52">
        <v>0</v>
      </c>
      <c r="P179" s="4">
        <f t="shared" si="2"/>
        <v>1</v>
      </c>
      <c r="Q179" s="71"/>
      <c r="R179" s="71"/>
      <c r="S179" s="3">
        <f t="shared" si="3"/>
        <v>0</v>
      </c>
    </row>
    <row r="180" spans="1:22" ht="29.55" x14ac:dyDescent="0.3">
      <c r="A180" s="5" t="s">
        <v>7</v>
      </c>
      <c r="B180" s="5" t="s">
        <v>164</v>
      </c>
      <c r="C180" s="8">
        <v>540693</v>
      </c>
      <c r="D180" s="8" t="s">
        <v>258</v>
      </c>
      <c r="E180" s="35" t="s">
        <v>260</v>
      </c>
      <c r="F180" s="8" t="s">
        <v>692</v>
      </c>
      <c r="G180" s="8" t="s">
        <v>692</v>
      </c>
      <c r="H180" s="8" t="s">
        <v>692</v>
      </c>
      <c r="I180" s="8" t="s">
        <v>692</v>
      </c>
      <c r="J180" s="54">
        <v>174419.14666639999</v>
      </c>
      <c r="K180" s="54">
        <v>0</v>
      </c>
      <c r="L180" s="54">
        <v>174419.14666639999</v>
      </c>
      <c r="M180" s="54">
        <v>148256.27466643997</v>
      </c>
      <c r="N180" s="54">
        <v>26162.871999960014</v>
      </c>
      <c r="O180" s="52">
        <v>0</v>
      </c>
      <c r="P180" s="4">
        <f t="shared" si="2"/>
        <v>1</v>
      </c>
      <c r="Q180" s="71"/>
      <c r="R180" s="71"/>
      <c r="S180" s="3">
        <f t="shared" si="3"/>
        <v>0</v>
      </c>
    </row>
    <row r="181" spans="1:22" x14ac:dyDescent="0.3">
      <c r="A181" s="5" t="s">
        <v>7</v>
      </c>
      <c r="B181" s="5" t="s">
        <v>164</v>
      </c>
      <c r="C181" s="8">
        <v>594274</v>
      </c>
      <c r="D181" s="8" t="s">
        <v>261</v>
      </c>
      <c r="E181" s="35" t="s">
        <v>262</v>
      </c>
      <c r="F181" s="8" t="s">
        <v>692</v>
      </c>
      <c r="G181" s="8" t="s">
        <v>692</v>
      </c>
      <c r="H181" s="8" t="s">
        <v>692</v>
      </c>
      <c r="I181" s="8" t="s">
        <v>692</v>
      </c>
      <c r="J181" s="54">
        <v>504300</v>
      </c>
      <c r="K181" s="54">
        <v>0</v>
      </c>
      <c r="L181" s="54">
        <v>504300</v>
      </c>
      <c r="M181" s="54">
        <v>428655</v>
      </c>
      <c r="N181" s="54">
        <v>75645</v>
      </c>
      <c r="O181" s="52">
        <v>0</v>
      </c>
      <c r="P181" s="4">
        <f t="shared" si="2"/>
        <v>1</v>
      </c>
      <c r="Q181" s="71"/>
      <c r="R181" s="71"/>
      <c r="S181" s="3">
        <f t="shared" si="3"/>
        <v>0</v>
      </c>
    </row>
    <row r="182" spans="1:22" x14ac:dyDescent="0.3">
      <c r="A182" s="5" t="s">
        <v>7</v>
      </c>
      <c r="B182" s="5" t="s">
        <v>164</v>
      </c>
      <c r="C182" s="8">
        <v>594274</v>
      </c>
      <c r="D182" s="8" t="s">
        <v>261</v>
      </c>
      <c r="E182" s="35" t="s">
        <v>263</v>
      </c>
      <c r="F182" s="8" t="s">
        <v>692</v>
      </c>
      <c r="G182" s="8" t="s">
        <v>692</v>
      </c>
      <c r="H182" s="8" t="s">
        <v>692</v>
      </c>
      <c r="I182" s="8" t="s">
        <v>692</v>
      </c>
      <c r="J182" s="54">
        <v>150000</v>
      </c>
      <c r="K182" s="54">
        <v>22500</v>
      </c>
      <c r="L182" s="54">
        <v>127500</v>
      </c>
      <c r="M182" s="54">
        <v>127500</v>
      </c>
      <c r="N182" s="54">
        <v>0</v>
      </c>
      <c r="O182" s="52">
        <v>0</v>
      </c>
      <c r="P182" s="4">
        <f t="shared" si="2"/>
        <v>0.85</v>
      </c>
      <c r="Q182" s="71"/>
      <c r="R182" s="71"/>
      <c r="S182" s="3">
        <f t="shared" si="3"/>
        <v>0</v>
      </c>
    </row>
    <row r="183" spans="1:22" ht="29.55" x14ac:dyDescent="0.3">
      <c r="A183" s="5" t="s">
        <v>7</v>
      </c>
      <c r="B183" s="5" t="s">
        <v>164</v>
      </c>
      <c r="C183" s="8">
        <v>594274</v>
      </c>
      <c r="D183" s="8" t="s">
        <v>261</v>
      </c>
      <c r="E183" s="35" t="s">
        <v>264</v>
      </c>
      <c r="F183" s="8" t="s">
        <v>692</v>
      </c>
      <c r="G183" s="8" t="s">
        <v>692</v>
      </c>
      <c r="H183" s="8" t="s">
        <v>692</v>
      </c>
      <c r="I183" s="8" t="s">
        <v>692</v>
      </c>
      <c r="J183" s="54">
        <v>167890.5</v>
      </c>
      <c r="K183" s="54">
        <v>0</v>
      </c>
      <c r="L183" s="54">
        <v>167890.5</v>
      </c>
      <c r="M183" s="54">
        <v>142706.92499999999</v>
      </c>
      <c r="N183" s="54">
        <v>25183.575000000012</v>
      </c>
      <c r="O183" s="52">
        <v>0</v>
      </c>
      <c r="P183" s="4">
        <f t="shared" si="2"/>
        <v>1</v>
      </c>
      <c r="Q183" s="71"/>
      <c r="R183" s="71"/>
      <c r="S183" s="3">
        <f t="shared" si="3"/>
        <v>0</v>
      </c>
    </row>
    <row r="184" spans="1:22" ht="29.55" x14ac:dyDescent="0.3">
      <c r="A184" s="5" t="s">
        <v>7</v>
      </c>
      <c r="B184" s="5" t="s">
        <v>164</v>
      </c>
      <c r="C184" s="8">
        <v>594274</v>
      </c>
      <c r="D184" s="8" t="s">
        <v>261</v>
      </c>
      <c r="E184" s="35" t="s">
        <v>265</v>
      </c>
      <c r="F184" s="48" t="s">
        <v>692</v>
      </c>
      <c r="G184" s="48" t="s">
        <v>692</v>
      </c>
      <c r="H184" s="48" t="s">
        <v>692</v>
      </c>
      <c r="I184" s="48" t="s">
        <v>692</v>
      </c>
      <c r="J184" s="54">
        <v>70100</v>
      </c>
      <c r="K184" s="54">
        <v>0</v>
      </c>
      <c r="L184" s="54">
        <v>70100</v>
      </c>
      <c r="M184" s="54">
        <v>59585</v>
      </c>
      <c r="N184" s="54">
        <v>10515</v>
      </c>
      <c r="O184" s="52">
        <v>0</v>
      </c>
      <c r="P184" s="4">
        <f t="shared" si="2"/>
        <v>1</v>
      </c>
      <c r="Q184" s="71"/>
      <c r="R184" s="71"/>
      <c r="S184" s="3">
        <f t="shared" si="3"/>
        <v>0</v>
      </c>
    </row>
    <row r="185" spans="1:22" x14ac:dyDescent="0.3">
      <c r="A185" s="5" t="s">
        <v>7</v>
      </c>
      <c r="B185" s="5" t="s">
        <v>164</v>
      </c>
      <c r="C185" s="8">
        <v>594274</v>
      </c>
      <c r="D185" s="8" t="s">
        <v>261</v>
      </c>
      <c r="E185" s="37" t="s">
        <v>266</v>
      </c>
      <c r="F185" s="48" t="s">
        <v>692</v>
      </c>
      <c r="G185" s="48" t="s">
        <v>692</v>
      </c>
      <c r="H185" s="48" t="s">
        <v>692</v>
      </c>
      <c r="I185" s="48" t="s">
        <v>692</v>
      </c>
      <c r="J185" s="54">
        <v>608441.64</v>
      </c>
      <c r="K185" s="54">
        <v>0</v>
      </c>
      <c r="L185" s="54">
        <v>608441.64</v>
      </c>
      <c r="M185" s="54">
        <v>517175.39399999997</v>
      </c>
      <c r="N185" s="54">
        <v>91266.246000000043</v>
      </c>
      <c r="O185" s="52">
        <v>0</v>
      </c>
      <c r="P185" s="4">
        <f t="shared" si="2"/>
        <v>1</v>
      </c>
      <c r="Q185" s="71"/>
      <c r="R185" s="71"/>
      <c r="S185" s="3">
        <f t="shared" si="3"/>
        <v>0</v>
      </c>
    </row>
    <row r="186" spans="1:22" x14ac:dyDescent="0.3">
      <c r="A186" s="5" t="s">
        <v>7</v>
      </c>
      <c r="B186" s="5" t="s">
        <v>164</v>
      </c>
      <c r="C186" s="8">
        <v>594274</v>
      </c>
      <c r="D186" s="8" t="s">
        <v>261</v>
      </c>
      <c r="E186" s="37" t="s">
        <v>267</v>
      </c>
      <c r="F186" s="8" t="s">
        <v>692</v>
      </c>
      <c r="G186" s="8" t="s">
        <v>692</v>
      </c>
      <c r="H186" s="8" t="s">
        <v>692</v>
      </c>
      <c r="I186" s="8" t="s">
        <v>692</v>
      </c>
      <c r="J186" s="54">
        <v>190200</v>
      </c>
      <c r="K186" s="54">
        <v>0</v>
      </c>
      <c r="L186" s="54">
        <v>190200</v>
      </c>
      <c r="M186" s="54">
        <v>161670</v>
      </c>
      <c r="N186" s="54">
        <v>28530</v>
      </c>
      <c r="O186" s="52">
        <v>0</v>
      </c>
      <c r="P186" s="4">
        <f t="shared" si="2"/>
        <v>1</v>
      </c>
      <c r="Q186" s="71"/>
      <c r="R186" s="71"/>
      <c r="S186" s="3">
        <f t="shared" si="3"/>
        <v>0</v>
      </c>
    </row>
    <row r="187" spans="1:22" ht="29.55" x14ac:dyDescent="0.3">
      <c r="A187" s="5" t="s">
        <v>7</v>
      </c>
      <c r="B187" s="5" t="s">
        <v>164</v>
      </c>
      <c r="C187" s="8">
        <v>594274</v>
      </c>
      <c r="D187" s="8" t="s">
        <v>261</v>
      </c>
      <c r="E187" s="35" t="s">
        <v>268</v>
      </c>
      <c r="F187" s="8" t="s">
        <v>692</v>
      </c>
      <c r="G187" s="8" t="s">
        <v>692</v>
      </c>
      <c r="H187" s="8" t="s">
        <v>692</v>
      </c>
      <c r="I187" s="8" t="s">
        <v>692</v>
      </c>
      <c r="J187" s="54">
        <v>137320.70000000001</v>
      </c>
      <c r="K187" s="54">
        <v>0</v>
      </c>
      <c r="L187" s="54">
        <v>137320.70000000001</v>
      </c>
      <c r="M187" s="54">
        <v>116722.595</v>
      </c>
      <c r="N187" s="54">
        <v>20598.10500000001</v>
      </c>
      <c r="O187" s="52">
        <v>0</v>
      </c>
      <c r="P187" s="4">
        <f t="shared" si="2"/>
        <v>1</v>
      </c>
      <c r="Q187" s="71"/>
      <c r="R187" s="71"/>
      <c r="S187" s="3">
        <f t="shared" si="3"/>
        <v>0</v>
      </c>
    </row>
    <row r="188" spans="1:22" ht="29.55" x14ac:dyDescent="0.3">
      <c r="A188" s="5" t="s">
        <v>7</v>
      </c>
      <c r="B188" s="5" t="s">
        <v>164</v>
      </c>
      <c r="C188" s="8">
        <v>594274</v>
      </c>
      <c r="D188" s="8" t="s">
        <v>261</v>
      </c>
      <c r="E188" s="35" t="s">
        <v>269</v>
      </c>
      <c r="F188" s="11" t="s">
        <v>692</v>
      </c>
      <c r="G188" s="11" t="s">
        <v>692</v>
      </c>
      <c r="H188" s="11" t="s">
        <v>692</v>
      </c>
      <c r="I188" s="11" t="s">
        <v>692</v>
      </c>
      <c r="J188" s="54">
        <v>160113.09</v>
      </c>
      <c r="K188" s="54">
        <v>0</v>
      </c>
      <c r="L188" s="54">
        <v>160113.09</v>
      </c>
      <c r="M188" s="54">
        <v>136096.12649999998</v>
      </c>
      <c r="N188" s="54">
        <v>24016.963500000013</v>
      </c>
      <c r="O188" s="52">
        <v>0</v>
      </c>
      <c r="P188" s="4">
        <f t="shared" si="2"/>
        <v>1</v>
      </c>
      <c r="Q188" s="71"/>
      <c r="R188" s="71"/>
      <c r="S188" s="3">
        <f t="shared" si="3"/>
        <v>0</v>
      </c>
    </row>
    <row r="189" spans="1:22" x14ac:dyDescent="0.3">
      <c r="A189" s="5" t="s">
        <v>7</v>
      </c>
      <c r="B189" s="5" t="s">
        <v>164</v>
      </c>
      <c r="C189" s="8">
        <v>594713</v>
      </c>
      <c r="D189" s="8" t="s">
        <v>270</v>
      </c>
      <c r="E189" s="39" t="s">
        <v>668</v>
      </c>
      <c r="F189" s="8" t="s">
        <v>692</v>
      </c>
      <c r="G189" s="8" t="s">
        <v>692</v>
      </c>
      <c r="H189" s="8" t="s">
        <v>692</v>
      </c>
      <c r="I189" s="8" t="s">
        <v>692</v>
      </c>
      <c r="J189" s="54">
        <v>517547.61</v>
      </c>
      <c r="K189" s="54">
        <v>0</v>
      </c>
      <c r="L189" s="54">
        <v>517547.61</v>
      </c>
      <c r="M189" s="54">
        <v>439915.46849999996</v>
      </c>
      <c r="N189" s="54">
        <v>77632.141500000027</v>
      </c>
      <c r="O189" s="52">
        <v>0</v>
      </c>
      <c r="P189" s="4">
        <f t="shared" si="2"/>
        <v>1</v>
      </c>
      <c r="Q189" s="71"/>
      <c r="R189" s="71"/>
      <c r="S189" s="3">
        <f t="shared" si="3"/>
        <v>0</v>
      </c>
    </row>
    <row r="190" spans="1:22" ht="29.55" x14ac:dyDescent="0.3">
      <c r="A190" s="5" t="s">
        <v>7</v>
      </c>
      <c r="B190" s="5" t="s">
        <v>164</v>
      </c>
      <c r="C190" s="8">
        <v>594713</v>
      </c>
      <c r="D190" s="8" t="s">
        <v>270</v>
      </c>
      <c r="E190" s="35" t="s">
        <v>271</v>
      </c>
      <c r="F190" s="8" t="s">
        <v>692</v>
      </c>
      <c r="G190" s="8">
        <v>3286</v>
      </c>
      <c r="H190" s="8" t="s">
        <v>696</v>
      </c>
      <c r="I190" s="8" t="s">
        <v>692</v>
      </c>
      <c r="J190" s="54">
        <v>122095.75</v>
      </c>
      <c r="K190" s="54">
        <v>18314.39</v>
      </c>
      <c r="L190" s="54">
        <f>J190-K190</f>
        <v>103781.36</v>
      </c>
      <c r="M190" s="54">
        <f>L190</f>
        <v>103781.36</v>
      </c>
      <c r="N190" s="54">
        <v>0</v>
      </c>
      <c r="O190" s="52">
        <v>0</v>
      </c>
      <c r="P190" s="4">
        <f t="shared" si="2"/>
        <v>0.849999774766935</v>
      </c>
      <c r="Q190" s="71">
        <v>4375.9600000000064</v>
      </c>
      <c r="R190" s="71">
        <v>3719.5650143891226</v>
      </c>
      <c r="S190" s="81">
        <f>R190</f>
        <v>3719.5650143891226</v>
      </c>
      <c r="T190" s="81">
        <f>R190-S190</f>
        <v>0</v>
      </c>
      <c r="U190" s="72"/>
      <c r="V190" s="72"/>
    </row>
    <row r="191" spans="1:22" ht="29.55" x14ac:dyDescent="0.3">
      <c r="A191" s="5" t="s">
        <v>7</v>
      </c>
      <c r="B191" s="5" t="s">
        <v>164</v>
      </c>
      <c r="C191" s="8">
        <v>594713</v>
      </c>
      <c r="D191" s="8" t="s">
        <v>270</v>
      </c>
      <c r="E191" s="35" t="s">
        <v>272</v>
      </c>
      <c r="F191" s="8" t="s">
        <v>692</v>
      </c>
      <c r="G191" s="8">
        <v>3286</v>
      </c>
      <c r="H191" s="8">
        <v>716555</v>
      </c>
      <c r="I191" s="8" t="s">
        <v>703</v>
      </c>
      <c r="J191" s="54">
        <v>270645.73</v>
      </c>
      <c r="K191" s="54">
        <v>135322.86499999999</v>
      </c>
      <c r="L191" s="54">
        <v>135322.86499999999</v>
      </c>
      <c r="M191" s="54">
        <v>135322.86499999999</v>
      </c>
      <c r="N191" s="54">
        <v>0</v>
      </c>
      <c r="O191" s="52">
        <v>0</v>
      </c>
      <c r="P191" s="4">
        <f t="shared" si="2"/>
        <v>0.5</v>
      </c>
      <c r="Q191" s="71"/>
      <c r="R191" s="71"/>
      <c r="S191" s="3">
        <f t="shared" si="3"/>
        <v>0</v>
      </c>
    </row>
    <row r="192" spans="1:22" ht="29.55" x14ac:dyDescent="0.3">
      <c r="A192" s="5" t="s">
        <v>7</v>
      </c>
      <c r="B192" s="5" t="s">
        <v>164</v>
      </c>
      <c r="C192" s="8">
        <v>594713</v>
      </c>
      <c r="D192" s="8" t="s">
        <v>270</v>
      </c>
      <c r="E192" s="35" t="s">
        <v>273</v>
      </c>
      <c r="F192" s="8" t="s">
        <v>692</v>
      </c>
      <c r="G192" s="8" t="s">
        <v>692</v>
      </c>
      <c r="H192" s="8" t="s">
        <v>692</v>
      </c>
      <c r="I192" s="8" t="s">
        <v>692</v>
      </c>
      <c r="J192" s="54">
        <v>48283.100000000006</v>
      </c>
      <c r="K192" s="54">
        <v>7242.4650000000011</v>
      </c>
      <c r="L192" s="54">
        <v>41040.635000000002</v>
      </c>
      <c r="M192" s="54">
        <v>41040.635000000002</v>
      </c>
      <c r="N192" s="54">
        <v>0</v>
      </c>
      <c r="O192" s="52">
        <v>0</v>
      </c>
      <c r="P192" s="4">
        <f t="shared" si="2"/>
        <v>0.85</v>
      </c>
      <c r="Q192" s="71"/>
      <c r="R192" s="71"/>
      <c r="S192" s="3">
        <f t="shared" si="3"/>
        <v>0</v>
      </c>
    </row>
    <row r="193" spans="1:22" ht="29.55" x14ac:dyDescent="0.3">
      <c r="A193" s="5" t="s">
        <v>7</v>
      </c>
      <c r="B193" s="5" t="s">
        <v>164</v>
      </c>
      <c r="C193" s="8">
        <v>594713</v>
      </c>
      <c r="D193" s="8" t="s">
        <v>270</v>
      </c>
      <c r="E193" s="35" t="s">
        <v>274</v>
      </c>
      <c r="F193" s="8" t="s">
        <v>692</v>
      </c>
      <c r="G193" s="8" t="s">
        <v>692</v>
      </c>
      <c r="H193" s="8" t="s">
        <v>692</v>
      </c>
      <c r="I193" s="8" t="s">
        <v>692</v>
      </c>
      <c r="J193" s="54">
        <v>75121.95</v>
      </c>
      <c r="K193" s="54">
        <v>0</v>
      </c>
      <c r="L193" s="54">
        <v>75121.95</v>
      </c>
      <c r="M193" s="54">
        <v>63853.657499999994</v>
      </c>
      <c r="N193" s="54">
        <v>11268.292500000003</v>
      </c>
      <c r="O193" s="52">
        <v>0</v>
      </c>
      <c r="P193" s="4">
        <f t="shared" si="2"/>
        <v>1</v>
      </c>
      <c r="Q193" s="71"/>
      <c r="R193" s="71"/>
      <c r="S193" s="3">
        <f t="shared" si="3"/>
        <v>0</v>
      </c>
    </row>
    <row r="194" spans="1:22" x14ac:dyDescent="0.3">
      <c r="A194" s="5" t="s">
        <v>7</v>
      </c>
      <c r="B194" s="5" t="s">
        <v>164</v>
      </c>
      <c r="C194" s="8">
        <v>594713</v>
      </c>
      <c r="D194" s="8" t="s">
        <v>270</v>
      </c>
      <c r="E194" s="35" t="s">
        <v>275</v>
      </c>
      <c r="F194" s="8" t="s">
        <v>692</v>
      </c>
      <c r="G194" s="8" t="s">
        <v>692</v>
      </c>
      <c r="H194" s="8" t="s">
        <v>692</v>
      </c>
      <c r="I194" s="8" t="s">
        <v>692</v>
      </c>
      <c r="J194" s="54">
        <v>98061.53</v>
      </c>
      <c r="K194" s="54">
        <v>0</v>
      </c>
      <c r="L194" s="54">
        <v>98061.53</v>
      </c>
      <c r="M194" s="54">
        <v>83352.300499999998</v>
      </c>
      <c r="N194" s="54">
        <v>14709.229500000001</v>
      </c>
      <c r="O194" s="52">
        <v>0</v>
      </c>
      <c r="P194" s="4">
        <f t="shared" si="2"/>
        <v>1</v>
      </c>
      <c r="Q194" s="71"/>
      <c r="R194" s="71"/>
      <c r="S194" s="3">
        <f t="shared" si="3"/>
        <v>0</v>
      </c>
    </row>
    <row r="195" spans="1:22" x14ac:dyDescent="0.3">
      <c r="A195" s="5" t="s">
        <v>7</v>
      </c>
      <c r="B195" s="5" t="s">
        <v>164</v>
      </c>
      <c r="C195" s="8">
        <v>594713</v>
      </c>
      <c r="D195" s="8" t="s">
        <v>270</v>
      </c>
      <c r="E195" s="35" t="s">
        <v>276</v>
      </c>
      <c r="F195" s="8" t="s">
        <v>692</v>
      </c>
      <c r="G195" s="8" t="s">
        <v>692</v>
      </c>
      <c r="H195" s="8" t="s">
        <v>692</v>
      </c>
      <c r="I195" s="8" t="s">
        <v>692</v>
      </c>
      <c r="J195" s="54">
        <v>98400</v>
      </c>
      <c r="K195" s="54">
        <v>0</v>
      </c>
      <c r="L195" s="54">
        <v>98400</v>
      </c>
      <c r="M195" s="54">
        <f>L195*0.85</f>
        <v>83640</v>
      </c>
      <c r="N195" s="54">
        <f>L195-M195</f>
        <v>14760</v>
      </c>
      <c r="O195" s="52">
        <v>0</v>
      </c>
      <c r="P195" s="4">
        <f t="shared" ref="P195" si="5">L195/J195</f>
        <v>1</v>
      </c>
      <c r="Q195" s="76">
        <v>8045.71</v>
      </c>
      <c r="R195" s="76">
        <v>8045.71</v>
      </c>
      <c r="S195" s="81">
        <f t="shared" si="3"/>
        <v>6838.8535000000002</v>
      </c>
      <c r="T195" s="81">
        <f>R195-S195</f>
        <v>1206.8564999999999</v>
      </c>
      <c r="U195" s="72"/>
      <c r="V195" s="72"/>
    </row>
    <row r="196" spans="1:22" x14ac:dyDescent="0.3">
      <c r="A196" s="5" t="s">
        <v>7</v>
      </c>
      <c r="B196" s="5" t="s">
        <v>164</v>
      </c>
      <c r="C196" s="8">
        <v>594713</v>
      </c>
      <c r="D196" s="8" t="s">
        <v>270</v>
      </c>
      <c r="E196" s="35" t="s">
        <v>277</v>
      </c>
      <c r="F196" s="48" t="s">
        <v>692</v>
      </c>
      <c r="G196" s="48" t="s">
        <v>692</v>
      </c>
      <c r="H196" s="48" t="s">
        <v>692</v>
      </c>
      <c r="I196" s="48" t="s">
        <v>692</v>
      </c>
      <c r="J196" s="54">
        <v>61499.880000000005</v>
      </c>
      <c r="K196" s="54">
        <v>9224.98</v>
      </c>
      <c r="L196" s="54">
        <v>52274.9</v>
      </c>
      <c r="M196" s="54">
        <v>52274.9</v>
      </c>
      <c r="N196" s="54">
        <v>0</v>
      </c>
      <c r="O196" s="52">
        <v>0</v>
      </c>
      <c r="P196" s="4">
        <f t="shared" ref="P196:P258" si="6">L196/J196</f>
        <v>0.85000003252038858</v>
      </c>
      <c r="Q196" s="71"/>
      <c r="R196" s="71"/>
      <c r="S196" s="3">
        <f t="shared" si="3"/>
        <v>0</v>
      </c>
    </row>
    <row r="197" spans="1:22" x14ac:dyDescent="0.3">
      <c r="A197" s="5" t="s">
        <v>7</v>
      </c>
      <c r="B197" s="5" t="s">
        <v>164</v>
      </c>
      <c r="C197" s="8">
        <v>594713</v>
      </c>
      <c r="D197" s="8" t="s">
        <v>270</v>
      </c>
      <c r="E197" s="37" t="s">
        <v>278</v>
      </c>
      <c r="F197" s="48" t="s">
        <v>692</v>
      </c>
      <c r="G197" s="48" t="s">
        <v>692</v>
      </c>
      <c r="H197" s="48" t="s">
        <v>692</v>
      </c>
      <c r="I197" s="48" t="s">
        <v>692</v>
      </c>
      <c r="J197" s="54">
        <v>98400</v>
      </c>
      <c r="K197" s="54">
        <v>0</v>
      </c>
      <c r="L197" s="54">
        <v>98400</v>
      </c>
      <c r="M197" s="54">
        <v>83640</v>
      </c>
      <c r="N197" s="54">
        <v>14760</v>
      </c>
      <c r="O197" s="52">
        <v>0</v>
      </c>
      <c r="P197" s="4">
        <f t="shared" si="6"/>
        <v>1</v>
      </c>
      <c r="Q197" s="71"/>
      <c r="R197" s="71"/>
      <c r="S197" s="3">
        <f t="shared" si="3"/>
        <v>0</v>
      </c>
    </row>
    <row r="198" spans="1:22" x14ac:dyDescent="0.3">
      <c r="A198" s="5" t="s">
        <v>7</v>
      </c>
      <c r="B198" s="5" t="s">
        <v>164</v>
      </c>
      <c r="C198" s="8">
        <v>631431</v>
      </c>
      <c r="D198" s="8" t="s">
        <v>279</v>
      </c>
      <c r="E198" s="37" t="s">
        <v>280</v>
      </c>
      <c r="F198" s="48" t="s">
        <v>692</v>
      </c>
      <c r="G198" s="48" t="s">
        <v>692</v>
      </c>
      <c r="H198" s="48" t="s">
        <v>692</v>
      </c>
      <c r="I198" s="48" t="s">
        <v>692</v>
      </c>
      <c r="J198" s="54">
        <v>173742.61949805252</v>
      </c>
      <c r="K198" s="54">
        <v>0</v>
      </c>
      <c r="L198" s="54">
        <v>173742.61949805252</v>
      </c>
      <c r="M198" s="54">
        <v>147681.22657334464</v>
      </c>
      <c r="N198" s="54">
        <v>26061.392924707878</v>
      </c>
      <c r="O198" s="52">
        <v>0</v>
      </c>
      <c r="P198" s="4">
        <f t="shared" si="6"/>
        <v>1</v>
      </c>
      <c r="Q198" s="71"/>
      <c r="R198" s="71"/>
      <c r="S198" s="3">
        <f t="shared" si="3"/>
        <v>0</v>
      </c>
    </row>
    <row r="199" spans="1:22" x14ac:dyDescent="0.3">
      <c r="A199" s="5" t="s">
        <v>7</v>
      </c>
      <c r="B199" s="5" t="s">
        <v>164</v>
      </c>
      <c r="C199" s="8">
        <v>631431</v>
      </c>
      <c r="D199" s="8" t="s">
        <v>279</v>
      </c>
      <c r="E199" s="37" t="s">
        <v>281</v>
      </c>
      <c r="F199" s="48" t="s">
        <v>692</v>
      </c>
      <c r="G199" s="48">
        <v>3286</v>
      </c>
      <c r="H199" s="48">
        <v>716590</v>
      </c>
      <c r="I199" s="48" t="s">
        <v>692</v>
      </c>
      <c r="J199" s="54">
        <v>73856.007891662259</v>
      </c>
      <c r="K199" s="54">
        <v>12000</v>
      </c>
      <c r="L199" s="54">
        <v>61856.007891662259</v>
      </c>
      <c r="M199" s="54">
        <v>61856.007891662259</v>
      </c>
      <c r="N199" s="54">
        <v>0</v>
      </c>
      <c r="O199" s="52">
        <v>0</v>
      </c>
      <c r="P199" s="4">
        <f t="shared" si="6"/>
        <v>0.83752168113929837</v>
      </c>
      <c r="Q199" s="71"/>
      <c r="R199" s="71"/>
      <c r="S199" s="3">
        <f t="shared" si="3"/>
        <v>0</v>
      </c>
    </row>
    <row r="200" spans="1:22" x14ac:dyDescent="0.3">
      <c r="A200" s="5" t="s">
        <v>7</v>
      </c>
      <c r="B200" s="5" t="s">
        <v>164</v>
      </c>
      <c r="C200" s="8">
        <v>631431</v>
      </c>
      <c r="D200" s="8" t="s">
        <v>279</v>
      </c>
      <c r="E200" s="37" t="s">
        <v>282</v>
      </c>
      <c r="F200" s="48" t="s">
        <v>692</v>
      </c>
      <c r="G200" s="48" t="s">
        <v>692</v>
      </c>
      <c r="H200" s="48" t="s">
        <v>692</v>
      </c>
      <c r="I200" s="48" t="s">
        <v>692</v>
      </c>
      <c r="J200" s="54">
        <v>556704.07102496037</v>
      </c>
      <c r="K200" s="54">
        <v>0</v>
      </c>
      <c r="L200" s="54">
        <v>556704.07102496037</v>
      </c>
      <c r="M200" s="54">
        <v>473198.46037121629</v>
      </c>
      <c r="N200" s="54">
        <v>83505.610653744079</v>
      </c>
      <c r="O200" s="52">
        <v>0</v>
      </c>
      <c r="P200" s="4">
        <f t="shared" si="6"/>
        <v>1</v>
      </c>
      <c r="Q200" s="71"/>
      <c r="R200" s="71"/>
      <c r="S200" s="3">
        <f t="shared" si="3"/>
        <v>0</v>
      </c>
    </row>
    <row r="201" spans="1:22" x14ac:dyDescent="0.3">
      <c r="A201" s="5" t="s">
        <v>7</v>
      </c>
      <c r="B201" s="5" t="s">
        <v>164</v>
      </c>
      <c r="C201" s="8">
        <v>631431</v>
      </c>
      <c r="D201" s="8" t="s">
        <v>279</v>
      </c>
      <c r="E201" s="37" t="s">
        <v>283</v>
      </c>
      <c r="F201" s="48" t="s">
        <v>692</v>
      </c>
      <c r="G201" s="48" t="s">
        <v>692</v>
      </c>
      <c r="H201" s="48" t="s">
        <v>692</v>
      </c>
      <c r="I201" s="48" t="s">
        <v>692</v>
      </c>
      <c r="J201" s="54">
        <v>449280.39091406099</v>
      </c>
      <c r="K201" s="54">
        <v>0</v>
      </c>
      <c r="L201" s="54">
        <v>449280.39091406099</v>
      </c>
      <c r="M201" s="54">
        <v>381888.33227695181</v>
      </c>
      <c r="N201" s="54">
        <v>67392.058637109178</v>
      </c>
      <c r="O201" s="52">
        <v>0</v>
      </c>
      <c r="P201" s="4">
        <f t="shared" si="6"/>
        <v>1</v>
      </c>
      <c r="Q201" s="71"/>
      <c r="R201" s="71"/>
      <c r="S201" s="3">
        <f t="shared" si="3"/>
        <v>0</v>
      </c>
    </row>
    <row r="202" spans="1:22" x14ac:dyDescent="0.3">
      <c r="A202" s="5" t="s">
        <v>7</v>
      </c>
      <c r="B202" s="5" t="s">
        <v>164</v>
      </c>
      <c r="C202" s="8">
        <v>631431</v>
      </c>
      <c r="D202" s="8" t="s">
        <v>279</v>
      </c>
      <c r="E202" s="37" t="s">
        <v>284</v>
      </c>
      <c r="F202" s="48" t="s">
        <v>692</v>
      </c>
      <c r="G202" s="48" t="s">
        <v>692</v>
      </c>
      <c r="H202" s="48" t="s">
        <v>692</v>
      </c>
      <c r="I202" s="48" t="s">
        <v>692</v>
      </c>
      <c r="J202" s="54">
        <v>238313.00546307713</v>
      </c>
      <c r="K202" s="54">
        <v>0</v>
      </c>
      <c r="L202" s="54">
        <v>238313.00546307713</v>
      </c>
      <c r="M202" s="54">
        <v>202566.05464361556</v>
      </c>
      <c r="N202" s="54">
        <v>35746.950819461577</v>
      </c>
      <c r="O202" s="52">
        <v>0</v>
      </c>
      <c r="P202" s="4">
        <f t="shared" si="6"/>
        <v>1</v>
      </c>
      <c r="Q202" s="71"/>
      <c r="R202" s="71"/>
      <c r="S202" s="3">
        <f t="shared" si="3"/>
        <v>0</v>
      </c>
    </row>
    <row r="203" spans="1:22" ht="29.55" x14ac:dyDescent="0.3">
      <c r="A203" s="5" t="s">
        <v>7</v>
      </c>
      <c r="B203" s="5" t="s">
        <v>164</v>
      </c>
      <c r="C203" s="8">
        <v>631431</v>
      </c>
      <c r="D203" s="8" t="s">
        <v>279</v>
      </c>
      <c r="E203" s="37" t="s">
        <v>285</v>
      </c>
      <c r="F203" s="48" t="s">
        <v>692</v>
      </c>
      <c r="G203" s="48" t="s">
        <v>692</v>
      </c>
      <c r="H203" s="48" t="s">
        <v>692</v>
      </c>
      <c r="I203" s="48" t="s">
        <v>692</v>
      </c>
      <c r="J203" s="54">
        <v>128870.30653554296</v>
      </c>
      <c r="K203" s="54">
        <v>0</v>
      </c>
      <c r="L203" s="54">
        <v>128870.30653554296</v>
      </c>
      <c r="M203" s="54">
        <v>109539.76055521151</v>
      </c>
      <c r="N203" s="54">
        <v>19330.545980331444</v>
      </c>
      <c r="O203" s="52">
        <v>0</v>
      </c>
      <c r="P203" s="4">
        <f t="shared" si="6"/>
        <v>1</v>
      </c>
      <c r="Q203" s="71"/>
      <c r="R203" s="71"/>
      <c r="S203" s="3">
        <f t="shared" si="3"/>
        <v>0</v>
      </c>
    </row>
    <row r="204" spans="1:22" x14ac:dyDescent="0.3">
      <c r="A204" s="5" t="s">
        <v>7</v>
      </c>
      <c r="B204" s="5" t="s">
        <v>164</v>
      </c>
      <c r="C204" s="8">
        <v>631431</v>
      </c>
      <c r="D204" s="8" t="s">
        <v>279</v>
      </c>
      <c r="E204" s="37" t="s">
        <v>286</v>
      </c>
      <c r="F204" s="48" t="s">
        <v>692</v>
      </c>
      <c r="G204" s="48" t="s">
        <v>692</v>
      </c>
      <c r="H204" s="48" t="s">
        <v>692</v>
      </c>
      <c r="I204" s="48" t="s">
        <v>692</v>
      </c>
      <c r="J204" s="54">
        <v>350214.16232779366</v>
      </c>
      <c r="K204" s="54">
        <v>0</v>
      </c>
      <c r="L204" s="54">
        <v>350214.16232779366</v>
      </c>
      <c r="M204" s="54">
        <v>297682.03797862458</v>
      </c>
      <c r="N204" s="54">
        <v>52532.124349169084</v>
      </c>
      <c r="O204" s="52">
        <v>0</v>
      </c>
      <c r="P204" s="4">
        <f t="shared" si="6"/>
        <v>1</v>
      </c>
      <c r="Q204" s="71"/>
      <c r="R204" s="71"/>
      <c r="S204" s="3">
        <f t="shared" si="3"/>
        <v>0</v>
      </c>
    </row>
    <row r="205" spans="1:22" x14ac:dyDescent="0.3">
      <c r="A205" s="5" t="s">
        <v>7</v>
      </c>
      <c r="B205" s="5" t="s">
        <v>164</v>
      </c>
      <c r="C205" s="8">
        <v>631431</v>
      </c>
      <c r="D205" s="8" t="s">
        <v>279</v>
      </c>
      <c r="E205" s="37" t="s">
        <v>287</v>
      </c>
      <c r="F205" s="8" t="s">
        <v>692</v>
      </c>
      <c r="G205" s="8" t="s">
        <v>692</v>
      </c>
      <c r="H205" s="8" t="s">
        <v>692</v>
      </c>
      <c r="I205" s="8" t="s">
        <v>692</v>
      </c>
      <c r="J205" s="54">
        <v>27289.415246321587</v>
      </c>
      <c r="K205" s="54">
        <v>0</v>
      </c>
      <c r="L205" s="54">
        <v>27289.415246321587</v>
      </c>
      <c r="M205" s="54">
        <v>23196.002959373349</v>
      </c>
      <c r="N205" s="54">
        <v>4093.412286948238</v>
      </c>
      <c r="O205" s="52">
        <v>0</v>
      </c>
      <c r="P205" s="4">
        <f t="shared" si="6"/>
        <v>1</v>
      </c>
      <c r="Q205" s="71"/>
      <c r="R205" s="71"/>
      <c r="S205" s="3">
        <f t="shared" si="3"/>
        <v>0</v>
      </c>
    </row>
    <row r="206" spans="1:22" x14ac:dyDescent="0.3">
      <c r="A206" s="5" t="s">
        <v>7</v>
      </c>
      <c r="B206" s="5" t="s">
        <v>164</v>
      </c>
      <c r="C206" s="8">
        <v>566187</v>
      </c>
      <c r="D206" s="8" t="s">
        <v>288</v>
      </c>
      <c r="E206" s="35" t="s">
        <v>289</v>
      </c>
      <c r="F206" s="8" t="s">
        <v>692</v>
      </c>
      <c r="G206" s="8" t="s">
        <v>692</v>
      </c>
      <c r="H206" s="8" t="s">
        <v>692</v>
      </c>
      <c r="I206" s="8" t="s">
        <v>692</v>
      </c>
      <c r="J206" s="54">
        <v>1858814.42</v>
      </c>
      <c r="K206" s="54">
        <v>0</v>
      </c>
      <c r="L206" s="54">
        <v>1858814.42</v>
      </c>
      <c r="M206" s="54">
        <v>1579992.257</v>
      </c>
      <c r="N206" s="54">
        <v>278822.16299999994</v>
      </c>
      <c r="O206" s="52">
        <v>0</v>
      </c>
      <c r="P206" s="4">
        <f t="shared" si="6"/>
        <v>1</v>
      </c>
      <c r="Q206" s="71"/>
      <c r="R206" s="71"/>
      <c r="S206" s="3">
        <f t="shared" si="3"/>
        <v>0</v>
      </c>
    </row>
    <row r="207" spans="1:22" x14ac:dyDescent="0.3">
      <c r="A207" s="5" t="s">
        <v>7</v>
      </c>
      <c r="B207" s="5" t="s">
        <v>164</v>
      </c>
      <c r="C207" s="8">
        <v>566187</v>
      </c>
      <c r="D207" s="8" t="s">
        <v>288</v>
      </c>
      <c r="E207" s="35" t="s">
        <v>290</v>
      </c>
      <c r="F207" s="8" t="s">
        <v>692</v>
      </c>
      <c r="G207" s="8" t="s">
        <v>692</v>
      </c>
      <c r="H207" s="8" t="s">
        <v>692</v>
      </c>
      <c r="I207" s="8" t="s">
        <v>692</v>
      </c>
      <c r="J207" s="54">
        <v>142379.68</v>
      </c>
      <c r="K207" s="54">
        <v>24020.1</v>
      </c>
      <c r="L207" s="54">
        <v>118359.58</v>
      </c>
      <c r="M207" s="54">
        <v>118359.58</v>
      </c>
      <c r="N207" s="54">
        <v>0</v>
      </c>
      <c r="O207" s="52">
        <v>0</v>
      </c>
      <c r="P207" s="4">
        <f t="shared" si="6"/>
        <v>0.83129544890113538</v>
      </c>
      <c r="Q207" s="71"/>
      <c r="R207" s="71"/>
      <c r="S207" s="3">
        <f t="shared" si="3"/>
        <v>0</v>
      </c>
    </row>
    <row r="208" spans="1:22" x14ac:dyDescent="0.3">
      <c r="A208" s="5" t="s">
        <v>7</v>
      </c>
      <c r="B208" s="5" t="s">
        <v>164</v>
      </c>
      <c r="C208" s="8">
        <v>563431</v>
      </c>
      <c r="D208" s="8" t="s">
        <v>291</v>
      </c>
      <c r="E208" s="35" t="s">
        <v>292</v>
      </c>
      <c r="F208" s="8" t="s">
        <v>692</v>
      </c>
      <c r="G208" s="8" t="s">
        <v>692</v>
      </c>
      <c r="H208" s="8" t="s">
        <v>692</v>
      </c>
      <c r="I208" s="8" t="s">
        <v>692</v>
      </c>
      <c r="J208" s="54">
        <v>1113000</v>
      </c>
      <c r="K208" s="54">
        <v>0</v>
      </c>
      <c r="L208" s="54">
        <v>1113000</v>
      </c>
      <c r="M208" s="54">
        <v>946050</v>
      </c>
      <c r="N208" s="54">
        <v>166950</v>
      </c>
      <c r="O208" s="52">
        <v>0</v>
      </c>
      <c r="P208" s="4">
        <f t="shared" si="6"/>
        <v>1</v>
      </c>
      <c r="Q208" s="71"/>
      <c r="R208" s="71"/>
      <c r="S208" s="3">
        <f t="shared" si="3"/>
        <v>0</v>
      </c>
    </row>
    <row r="209" spans="1:19" ht="29.55" x14ac:dyDescent="0.3">
      <c r="A209" s="5" t="s">
        <v>7</v>
      </c>
      <c r="B209" s="5" t="s">
        <v>164</v>
      </c>
      <c r="C209" s="8">
        <v>563431</v>
      </c>
      <c r="D209" s="8" t="s">
        <v>291</v>
      </c>
      <c r="E209" s="35" t="s">
        <v>293</v>
      </c>
      <c r="F209" s="8" t="s">
        <v>692</v>
      </c>
      <c r="G209" s="8">
        <v>3286</v>
      </c>
      <c r="H209" s="8">
        <v>716580</v>
      </c>
      <c r="I209" s="8" t="s">
        <v>692</v>
      </c>
      <c r="J209" s="54">
        <v>150000</v>
      </c>
      <c r="K209" s="54">
        <v>75000</v>
      </c>
      <c r="L209" s="54">
        <v>75000</v>
      </c>
      <c r="M209" s="54">
        <v>75000</v>
      </c>
      <c r="N209" s="54">
        <v>0</v>
      </c>
      <c r="O209" s="52">
        <v>0</v>
      </c>
      <c r="P209" s="4">
        <f t="shared" si="6"/>
        <v>0.5</v>
      </c>
      <c r="Q209" s="71"/>
      <c r="R209" s="71"/>
      <c r="S209" s="3">
        <f t="shared" si="3"/>
        <v>0</v>
      </c>
    </row>
    <row r="210" spans="1:19" x14ac:dyDescent="0.3">
      <c r="A210" s="5" t="s">
        <v>7</v>
      </c>
      <c r="B210" s="5" t="s">
        <v>164</v>
      </c>
      <c r="C210" s="8">
        <v>563431</v>
      </c>
      <c r="D210" s="8" t="s">
        <v>291</v>
      </c>
      <c r="E210" s="35" t="s">
        <v>294</v>
      </c>
      <c r="F210" s="8" t="s">
        <v>692</v>
      </c>
      <c r="G210" s="8" t="s">
        <v>692</v>
      </c>
      <c r="H210" s="8" t="s">
        <v>692</v>
      </c>
      <c r="I210" s="8" t="s">
        <v>692</v>
      </c>
      <c r="J210" s="54">
        <v>432000</v>
      </c>
      <c r="K210" s="54">
        <v>0</v>
      </c>
      <c r="L210" s="54">
        <v>432000</v>
      </c>
      <c r="M210" s="54">
        <v>367200</v>
      </c>
      <c r="N210" s="54">
        <v>64800</v>
      </c>
      <c r="O210" s="52">
        <v>0</v>
      </c>
      <c r="P210" s="4">
        <f t="shared" si="6"/>
        <v>1</v>
      </c>
      <c r="Q210" s="71"/>
      <c r="R210" s="71"/>
      <c r="S210" s="3">
        <f t="shared" si="3"/>
        <v>0</v>
      </c>
    </row>
    <row r="211" spans="1:19" x14ac:dyDescent="0.3">
      <c r="A211" s="5" t="s">
        <v>7</v>
      </c>
      <c r="B211" s="5" t="s">
        <v>164</v>
      </c>
      <c r="C211" s="8">
        <v>563431</v>
      </c>
      <c r="D211" s="8" t="s">
        <v>291</v>
      </c>
      <c r="E211" s="35" t="s">
        <v>295</v>
      </c>
      <c r="F211" s="8" t="s">
        <v>692</v>
      </c>
      <c r="G211" s="8" t="s">
        <v>692</v>
      </c>
      <c r="H211" s="8" t="s">
        <v>692</v>
      </c>
      <c r="I211" s="8" t="s">
        <v>692</v>
      </c>
      <c r="J211" s="54">
        <v>5000</v>
      </c>
      <c r="K211" s="54">
        <v>0</v>
      </c>
      <c r="L211" s="54">
        <v>5000</v>
      </c>
      <c r="M211" s="54">
        <v>4250</v>
      </c>
      <c r="N211" s="54">
        <v>750</v>
      </c>
      <c r="O211" s="52">
        <v>0</v>
      </c>
      <c r="P211" s="4">
        <f t="shared" si="6"/>
        <v>1</v>
      </c>
      <c r="Q211" s="71"/>
      <c r="R211" s="71"/>
      <c r="S211" s="3">
        <f t="shared" si="3"/>
        <v>0</v>
      </c>
    </row>
    <row r="212" spans="1:19" ht="29.55" x14ac:dyDescent="0.3">
      <c r="A212" s="5" t="s">
        <v>7</v>
      </c>
      <c r="B212" s="5" t="s">
        <v>164</v>
      </c>
      <c r="C212" s="8">
        <v>472084</v>
      </c>
      <c r="D212" s="8" t="s">
        <v>296</v>
      </c>
      <c r="E212" s="35" t="s">
        <v>297</v>
      </c>
      <c r="F212" s="8" t="s">
        <v>692</v>
      </c>
      <c r="G212" s="8" t="s">
        <v>692</v>
      </c>
      <c r="H212" s="8" t="s">
        <v>692</v>
      </c>
      <c r="I212" s="8" t="s">
        <v>692</v>
      </c>
      <c r="J212" s="54">
        <v>246559.16999999998</v>
      </c>
      <c r="K212" s="54">
        <v>0</v>
      </c>
      <c r="L212" s="54">
        <v>246559.16999999998</v>
      </c>
      <c r="M212" s="54">
        <v>209575.29449999999</v>
      </c>
      <c r="N212" s="54">
        <v>36983.875499999995</v>
      </c>
      <c r="O212" s="52">
        <v>0</v>
      </c>
      <c r="P212" s="4">
        <f t="shared" si="6"/>
        <v>1</v>
      </c>
      <c r="Q212" s="71"/>
      <c r="R212" s="71"/>
      <c r="S212" s="3">
        <f t="shared" si="3"/>
        <v>0</v>
      </c>
    </row>
    <row r="213" spans="1:19" x14ac:dyDescent="0.3">
      <c r="A213" s="5" t="s">
        <v>7</v>
      </c>
      <c r="B213" s="5" t="s">
        <v>164</v>
      </c>
      <c r="C213" s="8">
        <v>472084</v>
      </c>
      <c r="D213" s="8" t="s">
        <v>296</v>
      </c>
      <c r="E213" s="35" t="s">
        <v>298</v>
      </c>
      <c r="F213" s="8" t="s">
        <v>692</v>
      </c>
      <c r="G213" s="8" t="s">
        <v>692</v>
      </c>
      <c r="H213" s="8" t="s">
        <v>692</v>
      </c>
      <c r="I213" s="8" t="s">
        <v>692</v>
      </c>
      <c r="J213" s="54">
        <v>156172.59999999998</v>
      </c>
      <c r="K213" s="54">
        <v>0</v>
      </c>
      <c r="L213" s="54">
        <v>156172.59999999998</v>
      </c>
      <c r="M213" s="54">
        <v>132746.70999999996</v>
      </c>
      <c r="N213" s="54">
        <v>23425.890000000014</v>
      </c>
      <c r="O213" s="52">
        <v>0</v>
      </c>
      <c r="P213" s="4">
        <f t="shared" si="6"/>
        <v>1</v>
      </c>
      <c r="Q213" s="71"/>
      <c r="R213" s="71"/>
      <c r="S213" s="3">
        <f t="shared" si="3"/>
        <v>0</v>
      </c>
    </row>
    <row r="214" spans="1:19" ht="29.55" x14ac:dyDescent="0.3">
      <c r="A214" s="5" t="s">
        <v>7</v>
      </c>
      <c r="B214" s="5" t="s">
        <v>164</v>
      </c>
      <c r="C214" s="8">
        <v>472084</v>
      </c>
      <c r="D214" s="8" t="s">
        <v>296</v>
      </c>
      <c r="E214" s="35" t="s">
        <v>299</v>
      </c>
      <c r="F214" s="8" t="s">
        <v>692</v>
      </c>
      <c r="G214" s="8">
        <v>3286</v>
      </c>
      <c r="H214" s="8">
        <v>716584</v>
      </c>
      <c r="I214" s="8">
        <v>1075961</v>
      </c>
      <c r="J214" s="54">
        <v>86283.760000000009</v>
      </c>
      <c r="K214" s="54">
        <v>12942.565451526543</v>
      </c>
      <c r="L214" s="54">
        <v>73341.194548473461</v>
      </c>
      <c r="M214" s="54">
        <v>73341.194548473461</v>
      </c>
      <c r="N214" s="54">
        <v>0</v>
      </c>
      <c r="O214" s="52">
        <v>0</v>
      </c>
      <c r="P214" s="4">
        <f t="shared" si="6"/>
        <v>0.84999998317729142</v>
      </c>
      <c r="Q214" s="71"/>
      <c r="R214" s="71"/>
      <c r="S214" s="3">
        <f t="shared" si="3"/>
        <v>0</v>
      </c>
    </row>
    <row r="215" spans="1:19" x14ac:dyDescent="0.3">
      <c r="A215" s="5" t="s">
        <v>7</v>
      </c>
      <c r="B215" s="5" t="s">
        <v>164</v>
      </c>
      <c r="C215" s="8">
        <v>472084</v>
      </c>
      <c r="D215" s="8" t="s">
        <v>296</v>
      </c>
      <c r="E215" s="35" t="s">
        <v>300</v>
      </c>
      <c r="F215" s="8" t="s">
        <v>692</v>
      </c>
      <c r="G215" s="8" t="s">
        <v>692</v>
      </c>
      <c r="H215" s="8" t="s">
        <v>692</v>
      </c>
      <c r="I215" s="8" t="s">
        <v>692</v>
      </c>
      <c r="J215" s="54">
        <v>131261.94</v>
      </c>
      <c r="K215" s="54">
        <v>0</v>
      </c>
      <c r="L215" s="54">
        <v>131261.94</v>
      </c>
      <c r="M215" s="54">
        <v>111572.649</v>
      </c>
      <c r="N215" s="54">
        <v>19689.290999999997</v>
      </c>
      <c r="O215" s="52">
        <v>0</v>
      </c>
      <c r="P215" s="4">
        <f t="shared" si="6"/>
        <v>1</v>
      </c>
      <c r="Q215" s="71"/>
      <c r="R215" s="71"/>
      <c r="S215" s="3">
        <f t="shared" si="3"/>
        <v>0</v>
      </c>
    </row>
    <row r="216" spans="1:19" ht="29.55" x14ac:dyDescent="0.3">
      <c r="A216" s="5" t="s">
        <v>7</v>
      </c>
      <c r="B216" s="5" t="s">
        <v>164</v>
      </c>
      <c r="C216" s="8">
        <v>472084</v>
      </c>
      <c r="D216" s="8" t="s">
        <v>296</v>
      </c>
      <c r="E216" s="35" t="s">
        <v>301</v>
      </c>
      <c r="F216" s="8" t="s">
        <v>692</v>
      </c>
      <c r="G216" s="8" t="s">
        <v>692</v>
      </c>
      <c r="H216" s="8" t="s">
        <v>692</v>
      </c>
      <c r="I216" s="8" t="s">
        <v>692</v>
      </c>
      <c r="J216" s="54">
        <v>73182.179999999993</v>
      </c>
      <c r="K216" s="54">
        <v>10977.326999999997</v>
      </c>
      <c r="L216" s="54">
        <v>62204.852999999996</v>
      </c>
      <c r="M216" s="54">
        <v>62204.852999999996</v>
      </c>
      <c r="N216" s="54">
        <v>0</v>
      </c>
      <c r="O216" s="52">
        <v>0</v>
      </c>
      <c r="P216" s="4">
        <f t="shared" si="6"/>
        <v>0.85</v>
      </c>
      <c r="Q216" s="71"/>
      <c r="R216" s="71"/>
      <c r="S216" s="3">
        <f t="shared" si="3"/>
        <v>0</v>
      </c>
    </row>
    <row r="217" spans="1:19" x14ac:dyDescent="0.3">
      <c r="A217" s="5" t="s">
        <v>7</v>
      </c>
      <c r="B217" s="5" t="s">
        <v>164</v>
      </c>
      <c r="C217" s="8">
        <v>472084</v>
      </c>
      <c r="D217" s="8" t="s">
        <v>296</v>
      </c>
      <c r="E217" s="35" t="s">
        <v>302</v>
      </c>
      <c r="F217" s="8" t="s">
        <v>692</v>
      </c>
      <c r="G217" s="8" t="s">
        <v>692</v>
      </c>
      <c r="H217" s="8" t="s">
        <v>692</v>
      </c>
      <c r="I217" s="8" t="s">
        <v>692</v>
      </c>
      <c r="J217" s="54">
        <v>121203.55</v>
      </c>
      <c r="K217" s="54">
        <v>0</v>
      </c>
      <c r="L217" s="54">
        <v>121203.55</v>
      </c>
      <c r="M217" s="54">
        <v>103023.0175</v>
      </c>
      <c r="N217" s="54">
        <v>18180.532500000001</v>
      </c>
      <c r="O217" s="52">
        <v>0</v>
      </c>
      <c r="P217" s="4">
        <f t="shared" si="6"/>
        <v>1</v>
      </c>
      <c r="Q217" s="71"/>
      <c r="R217" s="71"/>
      <c r="S217" s="3">
        <f t="shared" si="3"/>
        <v>0</v>
      </c>
    </row>
    <row r="218" spans="1:19" x14ac:dyDescent="0.3">
      <c r="A218" s="5" t="s">
        <v>7</v>
      </c>
      <c r="B218" s="5" t="s">
        <v>164</v>
      </c>
      <c r="C218" s="8">
        <v>472084</v>
      </c>
      <c r="D218" s="8" t="s">
        <v>296</v>
      </c>
      <c r="E218" s="35" t="s">
        <v>303</v>
      </c>
      <c r="F218" s="8" t="s">
        <v>692</v>
      </c>
      <c r="G218" s="8" t="s">
        <v>692</v>
      </c>
      <c r="H218" s="8" t="s">
        <v>692</v>
      </c>
      <c r="I218" s="8" t="s">
        <v>692</v>
      </c>
      <c r="J218" s="54">
        <v>141764.81999999998</v>
      </c>
      <c r="K218" s="54">
        <v>0</v>
      </c>
      <c r="L218" s="54">
        <v>141764.81999999998</v>
      </c>
      <c r="M218" s="54">
        <v>120500.09699999998</v>
      </c>
      <c r="N218" s="54">
        <v>21264.722999999998</v>
      </c>
      <c r="O218" s="52">
        <v>0</v>
      </c>
      <c r="P218" s="4">
        <f t="shared" si="6"/>
        <v>1</v>
      </c>
      <c r="Q218" s="71"/>
      <c r="R218" s="71"/>
      <c r="S218" s="3">
        <f t="shared" si="3"/>
        <v>0</v>
      </c>
    </row>
    <row r="219" spans="1:19" x14ac:dyDescent="0.3">
      <c r="A219" s="5" t="s">
        <v>7</v>
      </c>
      <c r="B219" s="8" t="s">
        <v>164</v>
      </c>
      <c r="C219" s="8">
        <v>597865</v>
      </c>
      <c r="D219" s="8" t="s">
        <v>304</v>
      </c>
      <c r="E219" s="35" t="s">
        <v>305</v>
      </c>
      <c r="F219" s="11" t="s">
        <v>692</v>
      </c>
      <c r="G219" s="11" t="s">
        <v>692</v>
      </c>
      <c r="H219" s="11" t="s">
        <v>692</v>
      </c>
      <c r="I219" s="11" t="s">
        <v>692</v>
      </c>
      <c r="J219" s="54">
        <v>993000</v>
      </c>
      <c r="K219" s="54">
        <v>0</v>
      </c>
      <c r="L219" s="54">
        <v>993000</v>
      </c>
      <c r="M219" s="54">
        <v>844050</v>
      </c>
      <c r="N219" s="54">
        <v>148950</v>
      </c>
      <c r="O219" s="52">
        <v>0</v>
      </c>
      <c r="P219" s="4">
        <f t="shared" si="6"/>
        <v>1</v>
      </c>
      <c r="Q219" s="71"/>
      <c r="R219" s="71"/>
      <c r="S219" s="3">
        <f t="shared" si="3"/>
        <v>0</v>
      </c>
    </row>
    <row r="220" spans="1:19" x14ac:dyDescent="0.3">
      <c r="A220" s="5" t="s">
        <v>7</v>
      </c>
      <c r="B220" s="8" t="s">
        <v>164</v>
      </c>
      <c r="C220" s="8">
        <v>597865</v>
      </c>
      <c r="D220" s="8" t="s">
        <v>304</v>
      </c>
      <c r="E220" s="39" t="s">
        <v>669</v>
      </c>
      <c r="F220" s="8" t="s">
        <v>692</v>
      </c>
      <c r="G220" s="8" t="s">
        <v>692</v>
      </c>
      <c r="H220" s="8" t="s">
        <v>692</v>
      </c>
      <c r="I220" s="8" t="s">
        <v>692</v>
      </c>
      <c r="J220" s="54">
        <v>361620</v>
      </c>
      <c r="K220" s="54">
        <v>0</v>
      </c>
      <c r="L220" s="54">
        <v>361620</v>
      </c>
      <c r="M220" s="54">
        <v>307377</v>
      </c>
      <c r="N220" s="54">
        <v>54243</v>
      </c>
      <c r="O220" s="52">
        <v>0</v>
      </c>
      <c r="P220" s="4">
        <f t="shared" si="6"/>
        <v>1</v>
      </c>
      <c r="Q220" s="71"/>
      <c r="R220" s="71"/>
      <c r="S220" s="3">
        <f t="shared" si="3"/>
        <v>0</v>
      </c>
    </row>
    <row r="221" spans="1:19" x14ac:dyDescent="0.3">
      <c r="A221" s="5" t="s">
        <v>7</v>
      </c>
      <c r="B221" s="8" t="s">
        <v>164</v>
      </c>
      <c r="C221" s="8">
        <v>597865</v>
      </c>
      <c r="D221" s="8" t="s">
        <v>304</v>
      </c>
      <c r="E221" s="35" t="s">
        <v>306</v>
      </c>
      <c r="F221" s="8" t="s">
        <v>692</v>
      </c>
      <c r="G221" s="8" t="s">
        <v>692</v>
      </c>
      <c r="H221" s="8" t="s">
        <v>692</v>
      </c>
      <c r="I221" s="8" t="s">
        <v>692</v>
      </c>
      <c r="J221" s="54">
        <v>40000</v>
      </c>
      <c r="K221" s="54">
        <v>0</v>
      </c>
      <c r="L221" s="54">
        <v>40000</v>
      </c>
      <c r="M221" s="54">
        <v>34000</v>
      </c>
      <c r="N221" s="54">
        <v>6000</v>
      </c>
      <c r="O221" s="52">
        <v>0</v>
      </c>
      <c r="P221" s="4">
        <f t="shared" si="6"/>
        <v>1</v>
      </c>
      <c r="Q221" s="71"/>
      <c r="R221" s="71"/>
      <c r="S221" s="3">
        <f t="shared" si="3"/>
        <v>0</v>
      </c>
    </row>
    <row r="222" spans="1:19" x14ac:dyDescent="0.3">
      <c r="A222" s="5" t="s">
        <v>7</v>
      </c>
      <c r="B222" s="8" t="s">
        <v>164</v>
      </c>
      <c r="C222" s="8">
        <v>597865</v>
      </c>
      <c r="D222" s="8" t="s">
        <v>304</v>
      </c>
      <c r="E222" s="35" t="s">
        <v>307</v>
      </c>
      <c r="F222" s="8" t="s">
        <v>692</v>
      </c>
      <c r="G222" s="8" t="s">
        <v>692</v>
      </c>
      <c r="H222" s="8" t="s">
        <v>692</v>
      </c>
      <c r="I222" s="8" t="s">
        <v>692</v>
      </c>
      <c r="J222" s="54">
        <v>170000</v>
      </c>
      <c r="K222" s="54">
        <v>0</v>
      </c>
      <c r="L222" s="54">
        <v>170000</v>
      </c>
      <c r="M222" s="54">
        <v>144500</v>
      </c>
      <c r="N222" s="54">
        <v>25500</v>
      </c>
      <c r="O222" s="52">
        <v>0</v>
      </c>
      <c r="P222" s="4">
        <f t="shared" si="6"/>
        <v>1</v>
      </c>
      <c r="Q222" s="71"/>
      <c r="R222" s="71"/>
      <c r="S222" s="3">
        <f t="shared" si="3"/>
        <v>0</v>
      </c>
    </row>
    <row r="223" spans="1:19" x14ac:dyDescent="0.3">
      <c r="A223" s="5" t="s">
        <v>7</v>
      </c>
      <c r="B223" s="8" t="s">
        <v>164</v>
      </c>
      <c r="C223" s="8">
        <v>597865</v>
      </c>
      <c r="D223" s="8" t="s">
        <v>304</v>
      </c>
      <c r="E223" s="35" t="s">
        <v>308</v>
      </c>
      <c r="F223" s="8" t="s">
        <v>692</v>
      </c>
      <c r="G223" s="8" t="s">
        <v>692</v>
      </c>
      <c r="H223" s="8" t="s">
        <v>692</v>
      </c>
      <c r="I223" s="8" t="s">
        <v>692</v>
      </c>
      <c r="J223" s="54">
        <v>50000</v>
      </c>
      <c r="K223" s="54">
        <v>0</v>
      </c>
      <c r="L223" s="54">
        <v>50000</v>
      </c>
      <c r="M223" s="54">
        <v>42500</v>
      </c>
      <c r="N223" s="54">
        <v>7500</v>
      </c>
      <c r="O223" s="52">
        <v>0</v>
      </c>
      <c r="P223" s="4">
        <f t="shared" si="6"/>
        <v>1</v>
      </c>
      <c r="Q223" s="71"/>
      <c r="R223" s="71"/>
      <c r="S223" s="3">
        <f t="shared" si="3"/>
        <v>0</v>
      </c>
    </row>
    <row r="224" spans="1:19" x14ac:dyDescent="0.3">
      <c r="A224" s="5" t="s">
        <v>7</v>
      </c>
      <c r="B224" s="8" t="s">
        <v>164</v>
      </c>
      <c r="C224" s="8">
        <v>597865</v>
      </c>
      <c r="D224" s="8" t="s">
        <v>304</v>
      </c>
      <c r="E224" s="35" t="s">
        <v>309</v>
      </c>
      <c r="F224" s="8" t="s">
        <v>692</v>
      </c>
      <c r="G224" s="8" t="s">
        <v>692</v>
      </c>
      <c r="H224" s="8" t="s">
        <v>692</v>
      </c>
      <c r="I224" s="8" t="s">
        <v>692</v>
      </c>
      <c r="J224" s="54">
        <v>50000</v>
      </c>
      <c r="K224" s="54">
        <v>7500</v>
      </c>
      <c r="L224" s="54">
        <v>42500</v>
      </c>
      <c r="M224" s="54">
        <v>42500</v>
      </c>
      <c r="N224" s="54">
        <v>0</v>
      </c>
      <c r="O224" s="52">
        <v>0</v>
      </c>
      <c r="P224" s="4">
        <f t="shared" si="6"/>
        <v>0.85</v>
      </c>
      <c r="Q224" s="71"/>
      <c r="R224" s="71"/>
      <c r="S224" s="3">
        <f t="shared" si="3"/>
        <v>0</v>
      </c>
    </row>
    <row r="225" spans="1:19" x14ac:dyDescent="0.3">
      <c r="A225" s="5" t="s">
        <v>7</v>
      </c>
      <c r="B225" s="8" t="s">
        <v>164</v>
      </c>
      <c r="C225" s="8">
        <v>617918</v>
      </c>
      <c r="D225" s="8" t="s">
        <v>310</v>
      </c>
      <c r="E225" s="35" t="s">
        <v>311</v>
      </c>
      <c r="F225" s="8" t="s">
        <v>692</v>
      </c>
      <c r="G225" s="8" t="s">
        <v>692</v>
      </c>
      <c r="H225" s="8" t="s">
        <v>692</v>
      </c>
      <c r="I225" s="8" t="s">
        <v>692</v>
      </c>
      <c r="J225" s="54">
        <v>1806000</v>
      </c>
      <c r="K225" s="54">
        <v>0</v>
      </c>
      <c r="L225" s="54">
        <v>1806000</v>
      </c>
      <c r="M225" s="54">
        <v>1535100</v>
      </c>
      <c r="N225" s="54">
        <v>270900</v>
      </c>
      <c r="O225" s="52">
        <v>0</v>
      </c>
      <c r="P225" s="4">
        <f t="shared" si="6"/>
        <v>1</v>
      </c>
      <c r="Q225" s="71"/>
      <c r="R225" s="71"/>
      <c r="S225" s="3">
        <f t="shared" si="3"/>
        <v>0</v>
      </c>
    </row>
    <row r="226" spans="1:19" x14ac:dyDescent="0.3">
      <c r="A226" s="5" t="s">
        <v>7</v>
      </c>
      <c r="B226" s="8" t="s">
        <v>164</v>
      </c>
      <c r="C226" s="8">
        <v>500491</v>
      </c>
      <c r="D226" s="8" t="s">
        <v>312</v>
      </c>
      <c r="E226" s="35" t="s">
        <v>313</v>
      </c>
      <c r="F226" s="8" t="s">
        <v>692</v>
      </c>
      <c r="G226" s="8" t="s">
        <v>692</v>
      </c>
      <c r="H226" s="8" t="s">
        <v>692</v>
      </c>
      <c r="I226" s="8" t="s">
        <v>692</v>
      </c>
      <c r="J226" s="54">
        <v>987630</v>
      </c>
      <c r="K226" s="54">
        <v>0</v>
      </c>
      <c r="L226" s="54">
        <v>987630</v>
      </c>
      <c r="M226" s="54">
        <v>839485.5</v>
      </c>
      <c r="N226" s="54">
        <v>148144.5</v>
      </c>
      <c r="O226" s="52">
        <v>0</v>
      </c>
      <c r="P226" s="4">
        <f t="shared" si="6"/>
        <v>1</v>
      </c>
      <c r="Q226" s="71"/>
      <c r="R226" s="71"/>
      <c r="S226" s="3">
        <f t="shared" si="3"/>
        <v>0</v>
      </c>
    </row>
    <row r="227" spans="1:19" x14ac:dyDescent="0.3">
      <c r="A227" s="5" t="s">
        <v>7</v>
      </c>
      <c r="B227" s="8" t="s">
        <v>164</v>
      </c>
      <c r="C227" s="8">
        <v>500491</v>
      </c>
      <c r="D227" s="8" t="s">
        <v>312</v>
      </c>
      <c r="E227" s="35" t="s">
        <v>314</v>
      </c>
      <c r="F227" s="8" t="s">
        <v>692</v>
      </c>
      <c r="G227" s="8" t="s">
        <v>692</v>
      </c>
      <c r="H227" s="8" t="s">
        <v>692</v>
      </c>
      <c r="I227" s="8" t="s">
        <v>692</v>
      </c>
      <c r="J227" s="54">
        <v>84180</v>
      </c>
      <c r="K227" s="54">
        <v>0</v>
      </c>
      <c r="L227" s="54">
        <v>84180</v>
      </c>
      <c r="M227" s="54">
        <v>71553</v>
      </c>
      <c r="N227" s="54">
        <v>12627</v>
      </c>
      <c r="O227" s="52">
        <v>0</v>
      </c>
      <c r="P227" s="4">
        <f t="shared" si="6"/>
        <v>1</v>
      </c>
      <c r="Q227" s="71"/>
      <c r="R227" s="71"/>
      <c r="S227" s="3">
        <f t="shared" si="3"/>
        <v>0</v>
      </c>
    </row>
    <row r="228" spans="1:19" x14ac:dyDescent="0.3">
      <c r="A228" s="5" t="s">
        <v>7</v>
      </c>
      <c r="B228" s="8" t="s">
        <v>164</v>
      </c>
      <c r="C228" s="8">
        <v>500491</v>
      </c>
      <c r="D228" s="8" t="s">
        <v>312</v>
      </c>
      <c r="E228" s="35" t="s">
        <v>315</v>
      </c>
      <c r="F228" s="8" t="s">
        <v>692</v>
      </c>
      <c r="G228" s="8" t="s">
        <v>692</v>
      </c>
      <c r="H228" s="8" t="s">
        <v>692</v>
      </c>
      <c r="I228" s="8" t="s">
        <v>692</v>
      </c>
      <c r="J228" s="54">
        <v>56200.959999999999</v>
      </c>
      <c r="K228" s="54">
        <v>0</v>
      </c>
      <c r="L228" s="54">
        <v>56200.959999999999</v>
      </c>
      <c r="M228" s="54">
        <v>47770.815999999999</v>
      </c>
      <c r="N228" s="54">
        <v>8430.1440000000002</v>
      </c>
      <c r="O228" s="52">
        <v>0</v>
      </c>
      <c r="P228" s="4">
        <f t="shared" si="6"/>
        <v>1</v>
      </c>
      <c r="Q228" s="71"/>
      <c r="R228" s="71"/>
      <c r="S228" s="3">
        <f t="shared" si="3"/>
        <v>0</v>
      </c>
    </row>
    <row r="229" spans="1:19" x14ac:dyDescent="0.3">
      <c r="A229" s="5" t="s">
        <v>7</v>
      </c>
      <c r="B229" s="8" t="s">
        <v>164</v>
      </c>
      <c r="C229" s="8">
        <v>500491</v>
      </c>
      <c r="D229" s="8" t="s">
        <v>312</v>
      </c>
      <c r="E229" s="35" t="s">
        <v>316</v>
      </c>
      <c r="F229" s="8" t="s">
        <v>692</v>
      </c>
      <c r="G229" s="8">
        <v>3286</v>
      </c>
      <c r="H229" s="8">
        <v>1464622</v>
      </c>
      <c r="I229" s="8" t="s">
        <v>692</v>
      </c>
      <c r="J229" s="54">
        <v>42650</v>
      </c>
      <c r="K229" s="54">
        <v>8530</v>
      </c>
      <c r="L229" s="54">
        <v>34120</v>
      </c>
      <c r="M229" s="54">
        <v>34120</v>
      </c>
      <c r="N229" s="54">
        <v>0</v>
      </c>
      <c r="O229" s="52">
        <v>0</v>
      </c>
      <c r="P229" s="4">
        <f t="shared" si="6"/>
        <v>0.8</v>
      </c>
      <c r="Q229" s="71"/>
      <c r="R229" s="71"/>
      <c r="S229" s="3">
        <f t="shared" si="3"/>
        <v>0</v>
      </c>
    </row>
    <row r="230" spans="1:19" x14ac:dyDescent="0.3">
      <c r="A230" s="5" t="s">
        <v>7</v>
      </c>
      <c r="B230" s="8" t="s">
        <v>164</v>
      </c>
      <c r="C230" s="8">
        <v>500491</v>
      </c>
      <c r="D230" s="8" t="s">
        <v>312</v>
      </c>
      <c r="E230" s="35" t="s">
        <v>317</v>
      </c>
      <c r="F230" s="8" t="s">
        <v>692</v>
      </c>
      <c r="G230" s="8">
        <v>3286</v>
      </c>
      <c r="H230" s="8">
        <v>1464639</v>
      </c>
      <c r="I230" s="8" t="s">
        <v>692</v>
      </c>
      <c r="J230" s="54">
        <v>20650</v>
      </c>
      <c r="K230" s="54">
        <v>4130</v>
      </c>
      <c r="L230" s="54">
        <v>16520</v>
      </c>
      <c r="M230" s="54">
        <v>16520</v>
      </c>
      <c r="N230" s="54">
        <v>0</v>
      </c>
      <c r="O230" s="52">
        <v>0</v>
      </c>
      <c r="P230" s="4">
        <f t="shared" si="6"/>
        <v>0.8</v>
      </c>
      <c r="Q230" s="71"/>
      <c r="R230" s="71"/>
      <c r="S230" s="3">
        <f t="shared" si="3"/>
        <v>0</v>
      </c>
    </row>
    <row r="231" spans="1:19" x14ac:dyDescent="0.3">
      <c r="A231" s="5" t="s">
        <v>7</v>
      </c>
      <c r="B231" s="8" t="s">
        <v>164</v>
      </c>
      <c r="C231" s="8">
        <v>500491</v>
      </c>
      <c r="D231" s="8" t="s">
        <v>312</v>
      </c>
      <c r="E231" s="35" t="s">
        <v>318</v>
      </c>
      <c r="F231" s="8" t="s">
        <v>692</v>
      </c>
      <c r="G231" s="8">
        <v>3286</v>
      </c>
      <c r="H231" s="8">
        <v>1471652</v>
      </c>
      <c r="I231" s="8" t="s">
        <v>692</v>
      </c>
      <c r="J231" s="54">
        <v>84747</v>
      </c>
      <c r="K231" s="54">
        <v>42373.5</v>
      </c>
      <c r="L231" s="54">
        <v>42373.5</v>
      </c>
      <c r="M231" s="54">
        <v>42373.5</v>
      </c>
      <c r="N231" s="54">
        <v>0</v>
      </c>
      <c r="O231" s="52">
        <v>0</v>
      </c>
      <c r="P231" s="4">
        <f t="shared" si="6"/>
        <v>0.5</v>
      </c>
      <c r="Q231" s="71"/>
      <c r="R231" s="71"/>
      <c r="S231" s="3">
        <f t="shared" si="3"/>
        <v>0</v>
      </c>
    </row>
    <row r="232" spans="1:19" x14ac:dyDescent="0.3">
      <c r="A232" s="5" t="s">
        <v>7</v>
      </c>
      <c r="B232" s="8" t="s">
        <v>164</v>
      </c>
      <c r="C232" s="8">
        <v>500491</v>
      </c>
      <c r="D232" s="8" t="s">
        <v>312</v>
      </c>
      <c r="E232" s="35" t="s">
        <v>319</v>
      </c>
      <c r="F232" s="8" t="s">
        <v>692</v>
      </c>
      <c r="G232" s="8">
        <v>3286</v>
      </c>
      <c r="H232" s="8">
        <v>1464797</v>
      </c>
      <c r="I232" s="8" t="s">
        <v>692</v>
      </c>
      <c r="J232" s="54">
        <v>25584</v>
      </c>
      <c r="K232" s="54">
        <v>3837.6</v>
      </c>
      <c r="L232" s="54">
        <v>21746.400000000001</v>
      </c>
      <c r="M232" s="54">
        <v>21746.400000000001</v>
      </c>
      <c r="N232" s="54">
        <v>0</v>
      </c>
      <c r="O232" s="52">
        <v>0</v>
      </c>
      <c r="P232" s="4">
        <f t="shared" si="6"/>
        <v>0.85000000000000009</v>
      </c>
      <c r="Q232" s="71"/>
      <c r="R232" s="71"/>
      <c r="S232" s="3">
        <f t="shared" si="3"/>
        <v>0</v>
      </c>
    </row>
    <row r="233" spans="1:19" x14ac:dyDescent="0.3">
      <c r="A233" s="5" t="s">
        <v>7</v>
      </c>
      <c r="B233" s="8" t="s">
        <v>164</v>
      </c>
      <c r="C233" s="8">
        <v>500491</v>
      </c>
      <c r="D233" s="8" t="s">
        <v>312</v>
      </c>
      <c r="E233" s="35" t="s">
        <v>320</v>
      </c>
      <c r="F233" s="48" t="s">
        <v>692</v>
      </c>
      <c r="G233" s="48">
        <v>3286</v>
      </c>
      <c r="H233" s="48">
        <v>1464678</v>
      </c>
      <c r="I233" s="48" t="s">
        <v>692</v>
      </c>
      <c r="J233" s="54">
        <v>452824.5</v>
      </c>
      <c r="K233" s="54">
        <v>90564.9</v>
      </c>
      <c r="L233" s="54">
        <v>362259.6</v>
      </c>
      <c r="M233" s="54">
        <v>362259.6</v>
      </c>
      <c r="N233" s="54">
        <v>0</v>
      </c>
      <c r="O233" s="52">
        <v>0</v>
      </c>
      <c r="P233" s="4">
        <f t="shared" si="6"/>
        <v>0.79999999999999993</v>
      </c>
      <c r="Q233" s="71"/>
      <c r="R233" s="71"/>
      <c r="S233" s="3">
        <f t="shared" si="3"/>
        <v>0</v>
      </c>
    </row>
    <row r="234" spans="1:19" x14ac:dyDescent="0.3">
      <c r="A234" s="5" t="s">
        <v>7</v>
      </c>
      <c r="B234" s="8" t="s">
        <v>164</v>
      </c>
      <c r="C234" s="8">
        <v>639237</v>
      </c>
      <c r="D234" s="8" t="s">
        <v>321</v>
      </c>
      <c r="E234" s="37" t="s">
        <v>322</v>
      </c>
      <c r="F234" s="48" t="s">
        <v>692</v>
      </c>
      <c r="G234" s="48" t="s">
        <v>692</v>
      </c>
      <c r="H234" s="48" t="s">
        <v>692</v>
      </c>
      <c r="I234" s="48" t="s">
        <v>692</v>
      </c>
      <c r="J234" s="54">
        <v>702535.66</v>
      </c>
      <c r="K234" s="54">
        <v>0</v>
      </c>
      <c r="L234" s="54">
        <v>702535.66</v>
      </c>
      <c r="M234" s="54">
        <v>597155.31099999999</v>
      </c>
      <c r="N234" s="54">
        <v>105380.34900000005</v>
      </c>
      <c r="O234" s="52">
        <v>0</v>
      </c>
      <c r="P234" s="4">
        <f t="shared" si="6"/>
        <v>1</v>
      </c>
      <c r="Q234" s="71"/>
      <c r="R234" s="71"/>
      <c r="S234" s="3">
        <f t="shared" si="3"/>
        <v>0</v>
      </c>
    </row>
    <row r="235" spans="1:19" x14ac:dyDescent="0.3">
      <c r="A235" s="5" t="s">
        <v>7</v>
      </c>
      <c r="B235" s="8" t="s">
        <v>164</v>
      </c>
      <c r="C235" s="8">
        <v>639237</v>
      </c>
      <c r="D235" s="8" t="s">
        <v>321</v>
      </c>
      <c r="E235" s="37" t="s">
        <v>323</v>
      </c>
      <c r="F235" s="48" t="s">
        <v>692</v>
      </c>
      <c r="G235" s="48" t="s">
        <v>692</v>
      </c>
      <c r="H235" s="48" t="s">
        <v>692</v>
      </c>
      <c r="I235" s="48" t="s">
        <v>692</v>
      </c>
      <c r="J235" s="54">
        <v>80000</v>
      </c>
      <c r="K235" s="54">
        <v>0</v>
      </c>
      <c r="L235" s="54">
        <v>80000</v>
      </c>
      <c r="M235" s="54">
        <v>68000</v>
      </c>
      <c r="N235" s="54">
        <v>12000</v>
      </c>
      <c r="O235" s="52">
        <v>0</v>
      </c>
      <c r="P235" s="4">
        <f t="shared" si="6"/>
        <v>1</v>
      </c>
      <c r="Q235" s="71"/>
      <c r="R235" s="71"/>
      <c r="S235" s="3">
        <f t="shared" ref="S235:S298" si="7">R235*0.85</f>
        <v>0</v>
      </c>
    </row>
    <row r="236" spans="1:19" x14ac:dyDescent="0.3">
      <c r="A236" s="5" t="s">
        <v>7</v>
      </c>
      <c r="B236" s="8" t="s">
        <v>164</v>
      </c>
      <c r="C236" s="8">
        <v>639237</v>
      </c>
      <c r="D236" s="8" t="s">
        <v>321</v>
      </c>
      <c r="E236" s="37" t="s">
        <v>324</v>
      </c>
      <c r="F236" s="48" t="s">
        <v>692</v>
      </c>
      <c r="G236" s="48" t="s">
        <v>692</v>
      </c>
      <c r="H236" s="48" t="s">
        <v>692</v>
      </c>
      <c r="I236" s="48" t="s">
        <v>692</v>
      </c>
      <c r="J236" s="54">
        <v>168044.28291571434</v>
      </c>
      <c r="K236" s="54">
        <v>0</v>
      </c>
      <c r="L236" s="54">
        <v>168044.28291571434</v>
      </c>
      <c r="M236" s="54">
        <v>142837.64047835718</v>
      </c>
      <c r="N236" s="54">
        <v>25206.642437357164</v>
      </c>
      <c r="O236" s="52">
        <v>0</v>
      </c>
      <c r="P236" s="4">
        <f t="shared" si="6"/>
        <v>1</v>
      </c>
      <c r="Q236" s="71"/>
      <c r="R236" s="71"/>
      <c r="S236" s="3">
        <f t="shared" si="7"/>
        <v>0</v>
      </c>
    </row>
    <row r="237" spans="1:19" x14ac:dyDescent="0.3">
      <c r="A237" s="5" t="s">
        <v>7</v>
      </c>
      <c r="B237" s="8" t="s">
        <v>164</v>
      </c>
      <c r="C237" s="8">
        <v>639237</v>
      </c>
      <c r="D237" s="8" t="s">
        <v>321</v>
      </c>
      <c r="E237" s="37" t="s">
        <v>325</v>
      </c>
      <c r="F237" s="48" t="s">
        <v>692</v>
      </c>
      <c r="G237" s="48" t="s">
        <v>692</v>
      </c>
      <c r="H237" s="48" t="s">
        <v>692</v>
      </c>
      <c r="I237" s="48" t="s">
        <v>692</v>
      </c>
      <c r="J237" s="54">
        <v>88622.132084285404</v>
      </c>
      <c r="K237" s="54">
        <v>0</v>
      </c>
      <c r="L237" s="54">
        <v>88622.132084285404</v>
      </c>
      <c r="M237" s="54">
        <v>75328.812271642586</v>
      </c>
      <c r="N237" s="54">
        <v>13293.319812642818</v>
      </c>
      <c r="O237" s="52">
        <v>0</v>
      </c>
      <c r="P237" s="4">
        <f t="shared" si="6"/>
        <v>1</v>
      </c>
      <c r="Q237" s="71"/>
      <c r="R237" s="71"/>
      <c r="S237" s="3">
        <f t="shared" si="7"/>
        <v>0</v>
      </c>
    </row>
    <row r="238" spans="1:19" x14ac:dyDescent="0.3">
      <c r="A238" s="5" t="s">
        <v>7</v>
      </c>
      <c r="B238" s="8" t="s">
        <v>164</v>
      </c>
      <c r="C238" s="8">
        <v>639237</v>
      </c>
      <c r="D238" s="8" t="s">
        <v>321</v>
      </c>
      <c r="E238" s="37" t="s">
        <v>326</v>
      </c>
      <c r="F238" s="48" t="s">
        <v>692</v>
      </c>
      <c r="G238" s="48">
        <v>3286</v>
      </c>
      <c r="H238" s="48">
        <v>1464824</v>
      </c>
      <c r="I238" s="48" t="s">
        <v>692</v>
      </c>
      <c r="J238" s="54">
        <v>30000</v>
      </c>
      <c r="K238" s="54">
        <v>4500</v>
      </c>
      <c r="L238" s="54">
        <v>25500</v>
      </c>
      <c r="M238" s="54">
        <v>25500</v>
      </c>
      <c r="N238" s="54">
        <v>0</v>
      </c>
      <c r="O238" s="52">
        <v>0</v>
      </c>
      <c r="P238" s="4">
        <f t="shared" si="6"/>
        <v>0.85</v>
      </c>
      <c r="Q238" s="71"/>
      <c r="R238" s="71"/>
      <c r="S238" s="3">
        <f t="shared" si="7"/>
        <v>0</v>
      </c>
    </row>
    <row r="239" spans="1:19" x14ac:dyDescent="0.3">
      <c r="A239" s="5" t="s">
        <v>7</v>
      </c>
      <c r="B239" s="8" t="s">
        <v>164</v>
      </c>
      <c r="C239" s="8">
        <v>639237</v>
      </c>
      <c r="D239" s="8" t="s">
        <v>321</v>
      </c>
      <c r="E239" s="37" t="s">
        <v>327</v>
      </c>
      <c r="F239" s="48" t="s">
        <v>692</v>
      </c>
      <c r="G239" s="48">
        <v>3286</v>
      </c>
      <c r="H239" s="48">
        <v>1464454</v>
      </c>
      <c r="I239" s="48" t="s">
        <v>692</v>
      </c>
      <c r="J239" s="54">
        <v>100000</v>
      </c>
      <c r="K239" s="54">
        <v>15000</v>
      </c>
      <c r="L239" s="54">
        <v>85000</v>
      </c>
      <c r="M239" s="54">
        <v>85000</v>
      </c>
      <c r="N239" s="54">
        <v>0</v>
      </c>
      <c r="O239" s="52">
        <v>0</v>
      </c>
      <c r="P239" s="4">
        <f t="shared" si="6"/>
        <v>0.85</v>
      </c>
      <c r="Q239" s="71"/>
      <c r="R239" s="71"/>
      <c r="S239" s="3">
        <f t="shared" si="7"/>
        <v>0</v>
      </c>
    </row>
    <row r="240" spans="1:19" ht="29.55" x14ac:dyDescent="0.3">
      <c r="A240" s="5" t="s">
        <v>7</v>
      </c>
      <c r="B240" s="8" t="s">
        <v>164</v>
      </c>
      <c r="C240" s="8">
        <v>639237</v>
      </c>
      <c r="D240" s="8" t="s">
        <v>321</v>
      </c>
      <c r="E240" s="37" t="s">
        <v>328</v>
      </c>
      <c r="F240" s="48" t="s">
        <v>692</v>
      </c>
      <c r="G240" s="48" t="s">
        <v>692</v>
      </c>
      <c r="H240" s="48" t="s">
        <v>692</v>
      </c>
      <c r="I240" s="48" t="s">
        <v>692</v>
      </c>
      <c r="J240" s="54">
        <v>99630</v>
      </c>
      <c r="K240" s="54">
        <v>0</v>
      </c>
      <c r="L240" s="54">
        <v>99630</v>
      </c>
      <c r="M240" s="54">
        <v>84685.5</v>
      </c>
      <c r="N240" s="54">
        <v>14944.5</v>
      </c>
      <c r="O240" s="52">
        <v>0</v>
      </c>
      <c r="P240" s="4">
        <f t="shared" si="6"/>
        <v>1</v>
      </c>
      <c r="Q240" s="71"/>
      <c r="R240" s="71"/>
      <c r="S240" s="3">
        <f t="shared" si="7"/>
        <v>0</v>
      </c>
    </row>
    <row r="241" spans="1:19" x14ac:dyDescent="0.3">
      <c r="A241" s="5" t="s">
        <v>7</v>
      </c>
      <c r="B241" s="8" t="s">
        <v>164</v>
      </c>
      <c r="C241" s="8">
        <v>639237</v>
      </c>
      <c r="D241" s="8" t="s">
        <v>321</v>
      </c>
      <c r="E241" s="37" t="s">
        <v>329</v>
      </c>
      <c r="F241" s="8" t="s">
        <v>692</v>
      </c>
      <c r="G241" s="8" t="s">
        <v>692</v>
      </c>
      <c r="H241" s="8" t="s">
        <v>692</v>
      </c>
      <c r="I241" s="8" t="s">
        <v>692</v>
      </c>
      <c r="J241" s="54">
        <v>40000</v>
      </c>
      <c r="K241" s="54">
        <v>6000</v>
      </c>
      <c r="L241" s="54">
        <v>34000</v>
      </c>
      <c r="M241" s="54">
        <v>34000</v>
      </c>
      <c r="N241" s="54">
        <v>0</v>
      </c>
      <c r="O241" s="52">
        <v>0</v>
      </c>
      <c r="P241" s="4">
        <f t="shared" si="6"/>
        <v>0.85</v>
      </c>
      <c r="Q241" s="71"/>
      <c r="R241" s="71"/>
      <c r="S241" s="3">
        <f t="shared" si="7"/>
        <v>0</v>
      </c>
    </row>
    <row r="242" spans="1:19" x14ac:dyDescent="0.3">
      <c r="A242" s="5" t="s">
        <v>7</v>
      </c>
      <c r="B242" s="8" t="s">
        <v>164</v>
      </c>
      <c r="C242" s="8">
        <v>636111</v>
      </c>
      <c r="D242" s="8" t="s">
        <v>330</v>
      </c>
      <c r="E242" s="35" t="s">
        <v>331</v>
      </c>
      <c r="F242" s="8" t="s">
        <v>692</v>
      </c>
      <c r="G242" s="8" t="s">
        <v>692</v>
      </c>
      <c r="H242" s="8" t="s">
        <v>692</v>
      </c>
      <c r="I242" s="8" t="s">
        <v>692</v>
      </c>
      <c r="J242" s="54">
        <v>180000</v>
      </c>
      <c r="K242" s="54">
        <v>0</v>
      </c>
      <c r="L242" s="54">
        <v>180000</v>
      </c>
      <c r="M242" s="54">
        <v>153000</v>
      </c>
      <c r="N242" s="54">
        <v>27000</v>
      </c>
      <c r="O242" s="52">
        <v>0</v>
      </c>
      <c r="P242" s="4">
        <f t="shared" si="6"/>
        <v>1</v>
      </c>
      <c r="Q242" s="71"/>
      <c r="R242" s="71"/>
      <c r="S242" s="3">
        <f t="shared" si="7"/>
        <v>0</v>
      </c>
    </row>
    <row r="243" spans="1:19" x14ac:dyDescent="0.3">
      <c r="A243" s="5" t="s">
        <v>7</v>
      </c>
      <c r="B243" s="8" t="s">
        <v>164</v>
      </c>
      <c r="C243" s="8">
        <v>636111</v>
      </c>
      <c r="D243" s="8" t="s">
        <v>330</v>
      </c>
      <c r="E243" s="35" t="s">
        <v>332</v>
      </c>
      <c r="F243" s="8" t="s">
        <v>692</v>
      </c>
      <c r="G243" s="8" t="s">
        <v>692</v>
      </c>
      <c r="H243" s="8" t="s">
        <v>692</v>
      </c>
      <c r="I243" s="8" t="s">
        <v>692</v>
      </c>
      <c r="J243" s="54">
        <v>455000</v>
      </c>
      <c r="K243" s="54">
        <v>0</v>
      </c>
      <c r="L243" s="54">
        <v>455000</v>
      </c>
      <c r="M243" s="54">
        <v>386750</v>
      </c>
      <c r="N243" s="54">
        <v>68250</v>
      </c>
      <c r="O243" s="52">
        <v>0</v>
      </c>
      <c r="P243" s="4">
        <f t="shared" si="6"/>
        <v>1</v>
      </c>
      <c r="Q243" s="71"/>
      <c r="R243" s="71"/>
      <c r="S243" s="3">
        <f t="shared" si="7"/>
        <v>0</v>
      </c>
    </row>
    <row r="244" spans="1:19" x14ac:dyDescent="0.3">
      <c r="A244" s="5" t="s">
        <v>7</v>
      </c>
      <c r="B244" s="8" t="s">
        <v>164</v>
      </c>
      <c r="C244" s="8">
        <v>636111</v>
      </c>
      <c r="D244" s="8" t="s">
        <v>330</v>
      </c>
      <c r="E244" s="35" t="s">
        <v>333</v>
      </c>
      <c r="F244" s="8" t="s">
        <v>692</v>
      </c>
      <c r="G244" s="8" t="s">
        <v>692</v>
      </c>
      <c r="H244" s="8" t="s">
        <v>692</v>
      </c>
      <c r="I244" s="8" t="s">
        <v>692</v>
      </c>
      <c r="J244" s="54">
        <v>318500</v>
      </c>
      <c r="K244" s="54">
        <v>0</v>
      </c>
      <c r="L244" s="54">
        <v>318500</v>
      </c>
      <c r="M244" s="54">
        <v>270725</v>
      </c>
      <c r="N244" s="54">
        <v>47775</v>
      </c>
      <c r="O244" s="52">
        <v>0</v>
      </c>
      <c r="P244" s="4">
        <f t="shared" si="6"/>
        <v>1</v>
      </c>
      <c r="Q244" s="71"/>
      <c r="R244" s="71"/>
      <c r="S244" s="3">
        <f t="shared" si="7"/>
        <v>0</v>
      </c>
    </row>
    <row r="245" spans="1:19" x14ac:dyDescent="0.3">
      <c r="A245" s="5" t="s">
        <v>7</v>
      </c>
      <c r="B245" s="8" t="s">
        <v>164</v>
      </c>
      <c r="C245" s="8">
        <v>636111</v>
      </c>
      <c r="D245" s="8" t="s">
        <v>330</v>
      </c>
      <c r="E245" s="35" t="s">
        <v>334</v>
      </c>
      <c r="F245" s="8" t="s">
        <v>692</v>
      </c>
      <c r="G245" s="8" t="s">
        <v>692</v>
      </c>
      <c r="H245" s="8" t="s">
        <v>692</v>
      </c>
      <c r="I245" s="8" t="s">
        <v>692</v>
      </c>
      <c r="J245" s="54">
        <v>533000</v>
      </c>
      <c r="K245" s="54">
        <v>0</v>
      </c>
      <c r="L245" s="54">
        <v>533000</v>
      </c>
      <c r="M245" s="54">
        <v>453050</v>
      </c>
      <c r="N245" s="54">
        <v>79950</v>
      </c>
      <c r="O245" s="52">
        <v>0</v>
      </c>
      <c r="P245" s="4">
        <f t="shared" si="6"/>
        <v>1</v>
      </c>
      <c r="Q245" s="71"/>
      <c r="R245" s="71"/>
      <c r="S245" s="3">
        <f t="shared" si="7"/>
        <v>0</v>
      </c>
    </row>
    <row r="246" spans="1:19" x14ac:dyDescent="0.3">
      <c r="A246" s="5" t="s">
        <v>7</v>
      </c>
      <c r="B246" s="8" t="s">
        <v>164</v>
      </c>
      <c r="C246" s="8">
        <v>636111</v>
      </c>
      <c r="D246" s="8" t="s">
        <v>330</v>
      </c>
      <c r="E246" s="35" t="s">
        <v>335</v>
      </c>
      <c r="F246" s="8" t="s">
        <v>692</v>
      </c>
      <c r="G246" s="8" t="s">
        <v>692</v>
      </c>
      <c r="H246" s="8" t="s">
        <v>692</v>
      </c>
      <c r="I246" s="8" t="s">
        <v>692</v>
      </c>
      <c r="J246" s="54">
        <v>191000</v>
      </c>
      <c r="K246" s="54">
        <v>0</v>
      </c>
      <c r="L246" s="54">
        <v>191000</v>
      </c>
      <c r="M246" s="54">
        <v>162350</v>
      </c>
      <c r="N246" s="54">
        <v>28650</v>
      </c>
      <c r="O246" s="52">
        <v>0</v>
      </c>
      <c r="P246" s="4">
        <f t="shared" si="6"/>
        <v>1</v>
      </c>
      <c r="Q246" s="71"/>
      <c r="R246" s="71"/>
      <c r="S246" s="3">
        <f t="shared" si="7"/>
        <v>0</v>
      </c>
    </row>
    <row r="247" spans="1:19" x14ac:dyDescent="0.3">
      <c r="A247" s="5" t="s">
        <v>7</v>
      </c>
      <c r="B247" s="8" t="s">
        <v>164</v>
      </c>
      <c r="C247" s="8">
        <v>636111</v>
      </c>
      <c r="D247" s="8" t="s">
        <v>330</v>
      </c>
      <c r="E247" s="35" t="s">
        <v>336</v>
      </c>
      <c r="F247" s="8" t="s">
        <v>692</v>
      </c>
      <c r="G247" s="8" t="s">
        <v>692</v>
      </c>
      <c r="H247" s="8" t="s">
        <v>692</v>
      </c>
      <c r="I247" s="8" t="s">
        <v>692</v>
      </c>
      <c r="J247" s="54">
        <v>292500</v>
      </c>
      <c r="K247" s="54">
        <v>0</v>
      </c>
      <c r="L247" s="54">
        <v>292500</v>
      </c>
      <c r="M247" s="54">
        <v>248625</v>
      </c>
      <c r="N247" s="54">
        <v>43875</v>
      </c>
      <c r="O247" s="52">
        <v>0</v>
      </c>
      <c r="P247" s="4">
        <f t="shared" si="6"/>
        <v>1</v>
      </c>
      <c r="Q247" s="71"/>
      <c r="R247" s="71"/>
      <c r="S247" s="3">
        <f t="shared" si="7"/>
        <v>0</v>
      </c>
    </row>
    <row r="248" spans="1:19" x14ac:dyDescent="0.3">
      <c r="A248" s="5" t="s">
        <v>7</v>
      </c>
      <c r="B248" s="8" t="s">
        <v>164</v>
      </c>
      <c r="C248" s="8">
        <v>636111</v>
      </c>
      <c r="D248" s="8" t="s">
        <v>330</v>
      </c>
      <c r="E248" s="35" t="s">
        <v>337</v>
      </c>
      <c r="F248" s="8" t="s">
        <v>692</v>
      </c>
      <c r="G248" s="8" t="s">
        <v>692</v>
      </c>
      <c r="H248" s="8" t="s">
        <v>692</v>
      </c>
      <c r="I248" s="8" t="s">
        <v>692</v>
      </c>
      <c r="J248" s="54">
        <v>30000</v>
      </c>
      <c r="K248" s="54">
        <v>0</v>
      </c>
      <c r="L248" s="54">
        <v>30000</v>
      </c>
      <c r="M248" s="54">
        <v>25500</v>
      </c>
      <c r="N248" s="54">
        <v>4500</v>
      </c>
      <c r="O248" s="52">
        <v>0</v>
      </c>
      <c r="P248" s="4">
        <f t="shared" si="6"/>
        <v>1</v>
      </c>
      <c r="Q248" s="71"/>
      <c r="R248" s="71"/>
      <c r="S248" s="3">
        <f t="shared" si="7"/>
        <v>0</v>
      </c>
    </row>
    <row r="249" spans="1:19" x14ac:dyDescent="0.3">
      <c r="A249" s="5" t="s">
        <v>7</v>
      </c>
      <c r="B249" s="8" t="s">
        <v>164</v>
      </c>
      <c r="C249" s="8">
        <v>607417</v>
      </c>
      <c r="D249" s="8" t="s">
        <v>338</v>
      </c>
      <c r="E249" s="35" t="s">
        <v>339</v>
      </c>
      <c r="F249" s="8" t="s">
        <v>692</v>
      </c>
      <c r="G249" s="8" t="s">
        <v>692</v>
      </c>
      <c r="H249" s="8" t="s">
        <v>692</v>
      </c>
      <c r="I249" s="8" t="s">
        <v>692</v>
      </c>
      <c r="J249" s="54">
        <v>596857.5</v>
      </c>
      <c r="K249" s="54">
        <v>0</v>
      </c>
      <c r="L249" s="54">
        <v>596857.5</v>
      </c>
      <c r="M249" s="54">
        <v>507328.875</v>
      </c>
      <c r="N249" s="54">
        <v>89528.625</v>
      </c>
      <c r="O249" s="52">
        <v>0</v>
      </c>
      <c r="P249" s="4">
        <f t="shared" si="6"/>
        <v>1</v>
      </c>
      <c r="Q249" s="71"/>
      <c r="R249" s="71"/>
      <c r="S249" s="3">
        <f t="shared" si="7"/>
        <v>0</v>
      </c>
    </row>
    <row r="250" spans="1:19" x14ac:dyDescent="0.3">
      <c r="A250" s="5" t="s">
        <v>7</v>
      </c>
      <c r="B250" s="8" t="s">
        <v>164</v>
      </c>
      <c r="C250" s="8">
        <v>607417</v>
      </c>
      <c r="D250" s="8" t="s">
        <v>338</v>
      </c>
      <c r="E250" s="35" t="s">
        <v>340</v>
      </c>
      <c r="F250" s="8" t="s">
        <v>692</v>
      </c>
      <c r="G250" s="8" t="s">
        <v>692</v>
      </c>
      <c r="H250" s="8" t="s">
        <v>692</v>
      </c>
      <c r="I250" s="8" t="s">
        <v>692</v>
      </c>
      <c r="J250" s="54">
        <v>41820</v>
      </c>
      <c r="K250" s="54">
        <v>0</v>
      </c>
      <c r="L250" s="54">
        <v>41820</v>
      </c>
      <c r="M250" s="54">
        <v>35547</v>
      </c>
      <c r="N250" s="54">
        <v>6273</v>
      </c>
      <c r="O250" s="52">
        <v>0</v>
      </c>
      <c r="P250" s="4">
        <f t="shared" si="6"/>
        <v>1</v>
      </c>
      <c r="Q250" s="71"/>
      <c r="R250" s="71"/>
      <c r="S250" s="3">
        <f t="shared" si="7"/>
        <v>0</v>
      </c>
    </row>
    <row r="251" spans="1:19" x14ac:dyDescent="0.3">
      <c r="A251" s="5" t="s">
        <v>7</v>
      </c>
      <c r="B251" s="8" t="s">
        <v>164</v>
      </c>
      <c r="C251" s="8">
        <v>607417</v>
      </c>
      <c r="D251" s="8" t="s">
        <v>338</v>
      </c>
      <c r="E251" s="35" t="s">
        <v>341</v>
      </c>
      <c r="F251" s="8" t="s">
        <v>692</v>
      </c>
      <c r="G251" s="8" t="s">
        <v>692</v>
      </c>
      <c r="H251" s="8" t="s">
        <v>692</v>
      </c>
      <c r="I251" s="8" t="s">
        <v>692</v>
      </c>
      <c r="J251" s="54">
        <v>44280</v>
      </c>
      <c r="K251" s="54">
        <v>0</v>
      </c>
      <c r="L251" s="54">
        <v>44280</v>
      </c>
      <c r="M251" s="54">
        <v>37638</v>
      </c>
      <c r="N251" s="54">
        <v>6642</v>
      </c>
      <c r="O251" s="52">
        <v>0</v>
      </c>
      <c r="P251" s="4">
        <f t="shared" si="6"/>
        <v>1</v>
      </c>
      <c r="Q251" s="71"/>
      <c r="R251" s="71"/>
      <c r="S251" s="3">
        <f t="shared" si="7"/>
        <v>0</v>
      </c>
    </row>
    <row r="252" spans="1:19" x14ac:dyDescent="0.3">
      <c r="A252" s="5" t="s">
        <v>7</v>
      </c>
      <c r="B252" s="8" t="s">
        <v>164</v>
      </c>
      <c r="C252" s="8">
        <v>607417</v>
      </c>
      <c r="D252" s="8" t="s">
        <v>338</v>
      </c>
      <c r="E252" s="35" t="s">
        <v>342</v>
      </c>
      <c r="F252" s="8" t="s">
        <v>692</v>
      </c>
      <c r="G252" s="8" t="s">
        <v>692</v>
      </c>
      <c r="H252" s="8" t="s">
        <v>692</v>
      </c>
      <c r="I252" s="8" t="s">
        <v>692</v>
      </c>
      <c r="J252" s="54">
        <v>521712.53</v>
      </c>
      <c r="K252" s="54">
        <v>0</v>
      </c>
      <c r="L252" s="54">
        <v>521712.53</v>
      </c>
      <c r="M252" s="54">
        <v>443455.65049999999</v>
      </c>
      <c r="N252" s="54">
        <v>78256.879500000039</v>
      </c>
      <c r="O252" s="52">
        <v>0</v>
      </c>
      <c r="P252" s="4">
        <f t="shared" si="6"/>
        <v>1</v>
      </c>
      <c r="Q252" s="71"/>
      <c r="R252" s="71"/>
      <c r="S252" s="3">
        <f t="shared" si="7"/>
        <v>0</v>
      </c>
    </row>
    <row r="253" spans="1:19" x14ac:dyDescent="0.3">
      <c r="A253" s="5" t="s">
        <v>7</v>
      </c>
      <c r="B253" s="8" t="s">
        <v>164</v>
      </c>
      <c r="C253" s="8">
        <v>607417</v>
      </c>
      <c r="D253" s="8" t="s">
        <v>338</v>
      </c>
      <c r="E253" s="35" t="s">
        <v>343</v>
      </c>
      <c r="F253" s="8" t="s">
        <v>692</v>
      </c>
      <c r="G253" s="8">
        <v>3286</v>
      </c>
      <c r="H253" s="8">
        <v>1471133</v>
      </c>
      <c r="I253" s="8" t="s">
        <v>692</v>
      </c>
      <c r="J253" s="54">
        <v>30036.6</v>
      </c>
      <c r="K253" s="54">
        <v>4505.49</v>
      </c>
      <c r="L253" s="54">
        <v>25531.11</v>
      </c>
      <c r="M253" s="54">
        <v>25531.11</v>
      </c>
      <c r="N253" s="54">
        <v>0</v>
      </c>
      <c r="O253" s="52">
        <v>0</v>
      </c>
      <c r="P253" s="4">
        <f t="shared" si="6"/>
        <v>0.85000000000000009</v>
      </c>
      <c r="Q253" s="71"/>
      <c r="R253" s="71"/>
      <c r="S253" s="3">
        <f t="shared" si="7"/>
        <v>0</v>
      </c>
    </row>
    <row r="254" spans="1:19" x14ac:dyDescent="0.3">
      <c r="A254" s="5" t="s">
        <v>7</v>
      </c>
      <c r="B254" s="8" t="s">
        <v>164</v>
      </c>
      <c r="C254" s="8">
        <v>607417</v>
      </c>
      <c r="D254" s="8" t="s">
        <v>338</v>
      </c>
      <c r="E254" s="35" t="s">
        <v>344</v>
      </c>
      <c r="F254" s="8" t="s">
        <v>692</v>
      </c>
      <c r="G254" s="8">
        <v>3286</v>
      </c>
      <c r="H254" s="8">
        <v>1473060</v>
      </c>
      <c r="I254" s="8" t="s">
        <v>692</v>
      </c>
      <c r="J254" s="54">
        <v>12300</v>
      </c>
      <c r="K254" s="54">
        <v>1845</v>
      </c>
      <c r="L254" s="54">
        <v>10455</v>
      </c>
      <c r="M254" s="54">
        <v>10455</v>
      </c>
      <c r="N254" s="54">
        <v>0</v>
      </c>
      <c r="O254" s="52">
        <v>0</v>
      </c>
      <c r="P254" s="4">
        <f t="shared" si="6"/>
        <v>0.85</v>
      </c>
      <c r="Q254" s="71"/>
      <c r="R254" s="71"/>
      <c r="S254" s="3">
        <f t="shared" si="7"/>
        <v>0</v>
      </c>
    </row>
    <row r="255" spans="1:19" ht="59.1" x14ac:dyDescent="0.3">
      <c r="A255" s="5" t="s">
        <v>7</v>
      </c>
      <c r="B255" s="8" t="s">
        <v>164</v>
      </c>
      <c r="C255" s="8">
        <v>607417</v>
      </c>
      <c r="D255" s="8" t="s">
        <v>338</v>
      </c>
      <c r="E255" s="35" t="s">
        <v>345</v>
      </c>
      <c r="F255" s="8" t="s">
        <v>692</v>
      </c>
      <c r="G255" s="8">
        <v>3286</v>
      </c>
      <c r="H255" s="8">
        <v>1471047</v>
      </c>
      <c r="I255" s="8">
        <v>964187</v>
      </c>
      <c r="J255" s="54">
        <v>12639.43</v>
      </c>
      <c r="K255" s="54">
        <v>1895.91</v>
      </c>
      <c r="L255" s="54">
        <v>10743.52</v>
      </c>
      <c r="M255" s="54">
        <v>10743.52</v>
      </c>
      <c r="N255" s="54">
        <v>0</v>
      </c>
      <c r="O255" s="52">
        <v>0</v>
      </c>
      <c r="P255" s="4">
        <f t="shared" si="6"/>
        <v>0.85000035602871338</v>
      </c>
      <c r="Q255" s="71"/>
      <c r="R255" s="71"/>
      <c r="S255" s="3">
        <f t="shared" si="7"/>
        <v>0</v>
      </c>
    </row>
    <row r="256" spans="1:19" x14ac:dyDescent="0.3">
      <c r="A256" s="5" t="s">
        <v>7</v>
      </c>
      <c r="B256" s="8" t="s">
        <v>164</v>
      </c>
      <c r="C256" s="8">
        <v>491974</v>
      </c>
      <c r="D256" s="8" t="s">
        <v>346</v>
      </c>
      <c r="E256" s="35" t="s">
        <v>347</v>
      </c>
      <c r="F256" s="8" t="s">
        <v>692</v>
      </c>
      <c r="G256" s="8" t="s">
        <v>692</v>
      </c>
      <c r="H256" s="8" t="s">
        <v>692</v>
      </c>
      <c r="I256" s="8" t="s">
        <v>692</v>
      </c>
      <c r="J256" s="54">
        <v>225400</v>
      </c>
      <c r="K256" s="54">
        <v>33810</v>
      </c>
      <c r="L256" s="54">
        <v>191590</v>
      </c>
      <c r="M256" s="54">
        <v>191590</v>
      </c>
      <c r="N256" s="54">
        <v>0</v>
      </c>
      <c r="O256" s="52">
        <v>0</v>
      </c>
      <c r="P256" s="4">
        <f t="shared" si="6"/>
        <v>0.85</v>
      </c>
      <c r="Q256" s="71"/>
      <c r="R256" s="71"/>
      <c r="S256" s="3">
        <f t="shared" si="7"/>
        <v>0</v>
      </c>
    </row>
    <row r="257" spans="1:19" x14ac:dyDescent="0.3">
      <c r="A257" s="5" t="s">
        <v>7</v>
      </c>
      <c r="B257" s="8" t="s">
        <v>164</v>
      </c>
      <c r="C257" s="8">
        <v>491974</v>
      </c>
      <c r="D257" s="8" t="s">
        <v>346</v>
      </c>
      <c r="E257" s="35" t="s">
        <v>348</v>
      </c>
      <c r="F257" s="8" t="s">
        <v>692</v>
      </c>
      <c r="G257" s="8" t="s">
        <v>692</v>
      </c>
      <c r="H257" s="8" t="s">
        <v>692</v>
      </c>
      <c r="I257" s="8" t="s">
        <v>692</v>
      </c>
      <c r="J257" s="54">
        <v>196300</v>
      </c>
      <c r="K257" s="54">
        <v>29445</v>
      </c>
      <c r="L257" s="54">
        <v>166855</v>
      </c>
      <c r="M257" s="54">
        <v>166855</v>
      </c>
      <c r="N257" s="54">
        <v>0</v>
      </c>
      <c r="O257" s="52">
        <v>0</v>
      </c>
      <c r="P257" s="4">
        <f t="shared" si="6"/>
        <v>0.85</v>
      </c>
      <c r="Q257" s="71"/>
      <c r="R257" s="71"/>
      <c r="S257" s="3">
        <f t="shared" si="7"/>
        <v>0</v>
      </c>
    </row>
    <row r="258" spans="1:19" x14ac:dyDescent="0.3">
      <c r="A258" s="5" t="s">
        <v>7</v>
      </c>
      <c r="B258" s="8" t="s">
        <v>164</v>
      </c>
      <c r="C258" s="8">
        <v>591774</v>
      </c>
      <c r="D258" s="8" t="s">
        <v>349</v>
      </c>
      <c r="E258" s="35" t="s">
        <v>350</v>
      </c>
      <c r="F258" s="8" t="s">
        <v>692</v>
      </c>
      <c r="G258" s="8" t="s">
        <v>692</v>
      </c>
      <c r="H258" s="8" t="s">
        <v>692</v>
      </c>
      <c r="I258" s="8" t="s">
        <v>692</v>
      </c>
      <c r="J258" s="54">
        <v>584680.5</v>
      </c>
      <c r="K258" s="54">
        <v>0</v>
      </c>
      <c r="L258" s="54">
        <v>584680.5</v>
      </c>
      <c r="M258" s="54">
        <v>496978.42499999999</v>
      </c>
      <c r="N258" s="54">
        <v>87702.075000000012</v>
      </c>
      <c r="O258" s="52">
        <v>0</v>
      </c>
      <c r="P258" s="4">
        <f t="shared" si="6"/>
        <v>1</v>
      </c>
      <c r="Q258" s="71"/>
      <c r="R258" s="71"/>
      <c r="S258" s="3">
        <f t="shared" si="7"/>
        <v>0</v>
      </c>
    </row>
    <row r="259" spans="1:19" ht="29.55" x14ac:dyDescent="0.3">
      <c r="A259" s="5" t="s">
        <v>7</v>
      </c>
      <c r="B259" s="8" t="s">
        <v>164</v>
      </c>
      <c r="C259" s="8">
        <v>591774</v>
      </c>
      <c r="D259" s="8" t="s">
        <v>349</v>
      </c>
      <c r="E259" s="35" t="s">
        <v>351</v>
      </c>
      <c r="F259" s="8" t="s">
        <v>692</v>
      </c>
      <c r="G259" s="8" t="s">
        <v>692</v>
      </c>
      <c r="H259" s="8" t="s">
        <v>692</v>
      </c>
      <c r="I259" s="8" t="s">
        <v>692</v>
      </c>
      <c r="J259" s="54">
        <v>319800</v>
      </c>
      <c r="K259" s="54">
        <v>47970</v>
      </c>
      <c r="L259" s="54">
        <v>271830</v>
      </c>
      <c r="M259" s="54">
        <v>271830</v>
      </c>
      <c r="N259" s="54">
        <v>0</v>
      </c>
      <c r="O259" s="52">
        <v>0</v>
      </c>
      <c r="P259" s="4">
        <f t="shared" ref="P259:P322" si="8">L259/J259</f>
        <v>0.85</v>
      </c>
      <c r="Q259" s="71"/>
      <c r="R259" s="71"/>
      <c r="S259" s="3">
        <f t="shared" si="7"/>
        <v>0</v>
      </c>
    </row>
    <row r="260" spans="1:19" x14ac:dyDescent="0.3">
      <c r="A260" s="5" t="s">
        <v>7</v>
      </c>
      <c r="B260" s="8" t="s">
        <v>164</v>
      </c>
      <c r="C260" s="8">
        <v>591774</v>
      </c>
      <c r="D260" s="8" t="s">
        <v>349</v>
      </c>
      <c r="E260" s="35" t="s">
        <v>352</v>
      </c>
      <c r="F260" s="8" t="s">
        <v>692</v>
      </c>
      <c r="G260" s="8" t="s">
        <v>692</v>
      </c>
      <c r="H260" s="8" t="s">
        <v>692</v>
      </c>
      <c r="I260" s="8" t="s">
        <v>692</v>
      </c>
      <c r="J260" s="54">
        <v>122000</v>
      </c>
      <c r="K260" s="54">
        <v>18300</v>
      </c>
      <c r="L260" s="54">
        <v>103700</v>
      </c>
      <c r="M260" s="54">
        <v>103700</v>
      </c>
      <c r="N260" s="54">
        <v>0</v>
      </c>
      <c r="O260" s="52">
        <v>0</v>
      </c>
      <c r="P260" s="4">
        <f t="shared" si="8"/>
        <v>0.85</v>
      </c>
      <c r="Q260" s="71"/>
      <c r="R260" s="71"/>
      <c r="S260" s="3">
        <f t="shared" si="7"/>
        <v>0</v>
      </c>
    </row>
    <row r="261" spans="1:19" ht="29.55" x14ac:dyDescent="0.3">
      <c r="A261" s="5" t="s">
        <v>7</v>
      </c>
      <c r="B261" s="8" t="s">
        <v>164</v>
      </c>
      <c r="C261" s="8">
        <v>591774</v>
      </c>
      <c r="D261" s="8" t="s">
        <v>349</v>
      </c>
      <c r="E261" s="35" t="s">
        <v>353</v>
      </c>
      <c r="F261" s="8" t="s">
        <v>692</v>
      </c>
      <c r="G261" s="8" t="s">
        <v>692</v>
      </c>
      <c r="H261" s="8" t="s">
        <v>692</v>
      </c>
      <c r="I261" s="8" t="s">
        <v>692</v>
      </c>
      <c r="J261" s="54">
        <v>120000</v>
      </c>
      <c r="K261" s="54">
        <v>18000</v>
      </c>
      <c r="L261" s="54">
        <v>102000</v>
      </c>
      <c r="M261" s="54">
        <v>102000</v>
      </c>
      <c r="N261" s="54">
        <v>0</v>
      </c>
      <c r="O261" s="52">
        <v>0</v>
      </c>
      <c r="P261" s="4">
        <f t="shared" si="8"/>
        <v>0.85</v>
      </c>
      <c r="Q261" s="71"/>
      <c r="R261" s="71"/>
      <c r="S261" s="3">
        <f t="shared" si="7"/>
        <v>0</v>
      </c>
    </row>
    <row r="262" spans="1:19" x14ac:dyDescent="0.3">
      <c r="A262" s="5" t="s">
        <v>7</v>
      </c>
      <c r="B262" s="8" t="s">
        <v>164</v>
      </c>
      <c r="C262" s="8">
        <v>591774</v>
      </c>
      <c r="D262" s="8" t="s">
        <v>349</v>
      </c>
      <c r="E262" s="35" t="s">
        <v>354</v>
      </c>
      <c r="F262" s="8" t="s">
        <v>692</v>
      </c>
      <c r="G262" s="8">
        <v>3286</v>
      </c>
      <c r="H262" s="8">
        <v>1466511</v>
      </c>
      <c r="I262" s="8" t="s">
        <v>692</v>
      </c>
      <c r="J262" s="54">
        <v>135000</v>
      </c>
      <c r="K262" s="54">
        <v>20250</v>
      </c>
      <c r="L262" s="54">
        <v>114750</v>
      </c>
      <c r="M262" s="54">
        <v>114750</v>
      </c>
      <c r="N262" s="54">
        <v>0</v>
      </c>
      <c r="O262" s="52">
        <v>0</v>
      </c>
      <c r="P262" s="4">
        <f t="shared" si="8"/>
        <v>0.85</v>
      </c>
      <c r="Q262" s="71"/>
      <c r="R262" s="71"/>
      <c r="S262" s="3">
        <f t="shared" si="7"/>
        <v>0</v>
      </c>
    </row>
    <row r="263" spans="1:19" x14ac:dyDescent="0.3">
      <c r="A263" s="5" t="s">
        <v>7</v>
      </c>
      <c r="B263" s="8" t="s">
        <v>164</v>
      </c>
      <c r="C263" s="8">
        <v>591774</v>
      </c>
      <c r="D263" s="8" t="s">
        <v>349</v>
      </c>
      <c r="E263" s="35" t="s">
        <v>355</v>
      </c>
      <c r="F263" s="8" t="s">
        <v>692</v>
      </c>
      <c r="G263" s="8" t="s">
        <v>692</v>
      </c>
      <c r="H263" s="8" t="s">
        <v>692</v>
      </c>
      <c r="I263" s="8" t="s">
        <v>692</v>
      </c>
      <c r="J263" s="54">
        <v>130319.73</v>
      </c>
      <c r="K263" s="54">
        <v>0</v>
      </c>
      <c r="L263" s="54">
        <v>130319.73</v>
      </c>
      <c r="M263" s="54">
        <v>110771.7705</v>
      </c>
      <c r="N263" s="54">
        <v>19547.959499999997</v>
      </c>
      <c r="O263" s="52">
        <v>0</v>
      </c>
      <c r="P263" s="4">
        <f t="shared" si="8"/>
        <v>1</v>
      </c>
      <c r="Q263" s="71"/>
      <c r="R263" s="71"/>
      <c r="S263" s="3">
        <f t="shared" si="7"/>
        <v>0</v>
      </c>
    </row>
    <row r="264" spans="1:19" x14ac:dyDescent="0.3">
      <c r="A264" s="5" t="s">
        <v>7</v>
      </c>
      <c r="B264" s="8" t="s">
        <v>164</v>
      </c>
      <c r="C264" s="8">
        <v>591774</v>
      </c>
      <c r="D264" s="8" t="s">
        <v>349</v>
      </c>
      <c r="E264" s="35" t="s">
        <v>356</v>
      </c>
      <c r="F264" s="5" t="s">
        <v>692</v>
      </c>
      <c r="G264" s="5" t="s">
        <v>692</v>
      </c>
      <c r="H264" s="5" t="s">
        <v>692</v>
      </c>
      <c r="I264" s="5" t="s">
        <v>692</v>
      </c>
      <c r="J264" s="54">
        <v>190000</v>
      </c>
      <c r="K264" s="54">
        <v>0</v>
      </c>
      <c r="L264" s="54">
        <v>190000</v>
      </c>
      <c r="M264" s="54">
        <v>161500</v>
      </c>
      <c r="N264" s="54">
        <v>28500</v>
      </c>
      <c r="O264" s="52">
        <v>0</v>
      </c>
      <c r="P264" s="4">
        <f t="shared" si="8"/>
        <v>1</v>
      </c>
      <c r="Q264" s="71"/>
      <c r="R264" s="71"/>
      <c r="S264" s="3">
        <f t="shared" si="7"/>
        <v>0</v>
      </c>
    </row>
    <row r="265" spans="1:19" x14ac:dyDescent="0.3">
      <c r="A265" s="5" t="s">
        <v>7</v>
      </c>
      <c r="B265" s="5" t="s">
        <v>414</v>
      </c>
      <c r="C265" s="5">
        <v>638359</v>
      </c>
      <c r="D265" s="5" t="s">
        <v>415</v>
      </c>
      <c r="E265" s="34" t="s">
        <v>416</v>
      </c>
      <c r="F265" s="5" t="s">
        <v>692</v>
      </c>
      <c r="G265" s="5" t="s">
        <v>692</v>
      </c>
      <c r="H265" s="5" t="s">
        <v>692</v>
      </c>
      <c r="I265" s="5" t="s">
        <v>692</v>
      </c>
      <c r="J265" s="53">
        <v>1372600</v>
      </c>
      <c r="K265" s="53">
        <v>0</v>
      </c>
      <c r="L265" s="56">
        <v>1372600</v>
      </c>
      <c r="M265" s="54">
        <v>1166710</v>
      </c>
      <c r="N265" s="54">
        <v>205890</v>
      </c>
      <c r="O265" s="52">
        <v>0</v>
      </c>
      <c r="P265" s="4">
        <f t="shared" si="8"/>
        <v>1</v>
      </c>
      <c r="Q265" s="71"/>
      <c r="R265" s="71"/>
      <c r="S265" s="3">
        <f t="shared" si="7"/>
        <v>0</v>
      </c>
    </row>
    <row r="266" spans="1:19" x14ac:dyDescent="0.3">
      <c r="A266" s="5" t="s">
        <v>7</v>
      </c>
      <c r="B266" s="5" t="s">
        <v>414</v>
      </c>
      <c r="C266" s="5">
        <v>638359</v>
      </c>
      <c r="D266" s="5" t="s">
        <v>415</v>
      </c>
      <c r="E266" s="34" t="s">
        <v>417</v>
      </c>
      <c r="F266" s="5" t="s">
        <v>692</v>
      </c>
      <c r="G266" s="5" t="s">
        <v>692</v>
      </c>
      <c r="H266" s="5" t="s">
        <v>692</v>
      </c>
      <c r="I266" s="5" t="s">
        <v>692</v>
      </c>
      <c r="J266" s="53">
        <v>90000</v>
      </c>
      <c r="K266" s="53">
        <v>0</v>
      </c>
      <c r="L266" s="53">
        <v>90000</v>
      </c>
      <c r="M266" s="54">
        <v>76500</v>
      </c>
      <c r="N266" s="54">
        <v>13500</v>
      </c>
      <c r="O266" s="52">
        <v>0</v>
      </c>
      <c r="P266" s="4">
        <f t="shared" si="8"/>
        <v>1</v>
      </c>
      <c r="Q266" s="71"/>
      <c r="R266" s="71"/>
      <c r="S266" s="3">
        <f t="shared" si="7"/>
        <v>0</v>
      </c>
    </row>
    <row r="267" spans="1:19" x14ac:dyDescent="0.3">
      <c r="A267" s="5" t="s">
        <v>7</v>
      </c>
      <c r="B267" s="5" t="s">
        <v>414</v>
      </c>
      <c r="C267" s="5">
        <v>638359</v>
      </c>
      <c r="D267" s="5" t="s">
        <v>415</v>
      </c>
      <c r="E267" s="34" t="s">
        <v>418</v>
      </c>
      <c r="F267" s="5" t="s">
        <v>692</v>
      </c>
      <c r="G267" s="5" t="s">
        <v>692</v>
      </c>
      <c r="H267" s="5" t="s">
        <v>692</v>
      </c>
      <c r="I267" s="5" t="s">
        <v>692</v>
      </c>
      <c r="J267" s="53">
        <v>866846.02</v>
      </c>
      <c r="K267" s="53">
        <v>0</v>
      </c>
      <c r="L267" s="53">
        <v>866846.02</v>
      </c>
      <c r="M267" s="54">
        <v>736819.11699999997</v>
      </c>
      <c r="N267" s="54">
        <v>130026.90300000005</v>
      </c>
      <c r="O267" s="52">
        <v>0</v>
      </c>
      <c r="P267" s="4">
        <f t="shared" si="8"/>
        <v>1</v>
      </c>
      <c r="Q267" s="71"/>
      <c r="R267" s="71"/>
      <c r="S267" s="3">
        <f t="shared" si="7"/>
        <v>0</v>
      </c>
    </row>
    <row r="268" spans="1:19" x14ac:dyDescent="0.3">
      <c r="A268" s="5" t="s">
        <v>7</v>
      </c>
      <c r="B268" s="5" t="s">
        <v>414</v>
      </c>
      <c r="C268" s="5">
        <v>638359</v>
      </c>
      <c r="D268" s="5" t="s">
        <v>415</v>
      </c>
      <c r="E268" s="34" t="s">
        <v>419</v>
      </c>
      <c r="F268" s="5" t="s">
        <v>692</v>
      </c>
      <c r="G268" s="5" t="s">
        <v>692</v>
      </c>
      <c r="H268" s="5" t="s">
        <v>692</v>
      </c>
      <c r="I268" s="5" t="s">
        <v>692</v>
      </c>
      <c r="J268" s="53">
        <v>5000</v>
      </c>
      <c r="K268" s="53">
        <v>0</v>
      </c>
      <c r="L268" s="53">
        <v>5000</v>
      </c>
      <c r="M268" s="54">
        <v>4250</v>
      </c>
      <c r="N268" s="54">
        <v>750</v>
      </c>
      <c r="O268" s="52">
        <v>0</v>
      </c>
      <c r="P268" s="4">
        <f t="shared" si="8"/>
        <v>1</v>
      </c>
      <c r="Q268" s="71"/>
      <c r="R268" s="71"/>
      <c r="S268" s="3">
        <f t="shared" si="7"/>
        <v>0</v>
      </c>
    </row>
    <row r="269" spans="1:19" x14ac:dyDescent="0.3">
      <c r="A269" s="5" t="s">
        <v>421</v>
      </c>
      <c r="B269" s="5" t="s">
        <v>414</v>
      </c>
      <c r="C269" s="5">
        <v>1524918</v>
      </c>
      <c r="D269" s="5" t="s">
        <v>420</v>
      </c>
      <c r="E269" s="34" t="s">
        <v>422</v>
      </c>
      <c r="F269" s="5" t="s">
        <v>692</v>
      </c>
      <c r="G269" s="5" t="s">
        <v>692</v>
      </c>
      <c r="H269" s="5" t="s">
        <v>692</v>
      </c>
      <c r="I269" s="5" t="s">
        <v>692</v>
      </c>
      <c r="J269" s="53">
        <v>80000</v>
      </c>
      <c r="K269" s="53">
        <v>0</v>
      </c>
      <c r="L269" s="53">
        <v>80000</v>
      </c>
      <c r="M269" s="54">
        <v>68000</v>
      </c>
      <c r="N269" s="54">
        <v>12000</v>
      </c>
      <c r="O269" s="52">
        <v>0</v>
      </c>
      <c r="P269" s="4">
        <f t="shared" si="8"/>
        <v>1</v>
      </c>
      <c r="Q269" s="71"/>
      <c r="R269" s="71"/>
      <c r="S269" s="3">
        <f t="shared" si="7"/>
        <v>0</v>
      </c>
    </row>
    <row r="270" spans="1:19" x14ac:dyDescent="0.3">
      <c r="A270" s="5" t="s">
        <v>421</v>
      </c>
      <c r="B270" s="5" t="s">
        <v>414</v>
      </c>
      <c r="C270" s="5">
        <v>1524918</v>
      </c>
      <c r="D270" s="5" t="s">
        <v>420</v>
      </c>
      <c r="E270" s="34" t="s">
        <v>423</v>
      </c>
      <c r="F270" s="5" t="s">
        <v>692</v>
      </c>
      <c r="G270" s="5" t="s">
        <v>692</v>
      </c>
      <c r="H270" s="5" t="s">
        <v>692</v>
      </c>
      <c r="I270" s="5" t="s">
        <v>692</v>
      </c>
      <c r="J270" s="53">
        <v>670970.01</v>
      </c>
      <c r="K270" s="53">
        <v>0</v>
      </c>
      <c r="L270" s="53">
        <v>670970.01</v>
      </c>
      <c r="M270" s="54">
        <v>570324.5085</v>
      </c>
      <c r="N270" s="54">
        <v>100645.50150000001</v>
      </c>
      <c r="O270" s="52">
        <v>0</v>
      </c>
      <c r="P270" s="4">
        <f t="shared" si="8"/>
        <v>1</v>
      </c>
      <c r="Q270" s="71"/>
      <c r="R270" s="71"/>
      <c r="S270" s="3">
        <f t="shared" si="7"/>
        <v>0</v>
      </c>
    </row>
    <row r="271" spans="1:19" ht="29.55" x14ac:dyDescent="0.3">
      <c r="A271" s="5" t="s">
        <v>421</v>
      </c>
      <c r="B271" s="5" t="s">
        <v>414</v>
      </c>
      <c r="C271" s="5">
        <v>1524918</v>
      </c>
      <c r="D271" s="5" t="s">
        <v>420</v>
      </c>
      <c r="E271" s="34" t="s">
        <v>424</v>
      </c>
      <c r="F271" s="48" t="s">
        <v>692</v>
      </c>
      <c r="G271" s="48" t="s">
        <v>692</v>
      </c>
      <c r="H271" s="48" t="s">
        <v>692</v>
      </c>
      <c r="I271" s="48" t="s">
        <v>692</v>
      </c>
      <c r="J271" s="53">
        <v>50000</v>
      </c>
      <c r="K271" s="53">
        <v>0</v>
      </c>
      <c r="L271" s="53">
        <v>50000</v>
      </c>
      <c r="M271" s="54">
        <v>42500</v>
      </c>
      <c r="N271" s="54">
        <v>7500</v>
      </c>
      <c r="O271" s="52">
        <v>0</v>
      </c>
      <c r="P271" s="4">
        <f t="shared" si="8"/>
        <v>1</v>
      </c>
      <c r="Q271" s="71"/>
      <c r="R271" s="71"/>
      <c r="S271" s="3">
        <f t="shared" si="7"/>
        <v>0</v>
      </c>
    </row>
    <row r="272" spans="1:19" x14ac:dyDescent="0.3">
      <c r="A272" s="5" t="s">
        <v>421</v>
      </c>
      <c r="B272" s="5" t="s">
        <v>414</v>
      </c>
      <c r="C272" s="5">
        <v>1524918</v>
      </c>
      <c r="D272" s="5" t="s">
        <v>420</v>
      </c>
      <c r="E272" s="37" t="s">
        <v>425</v>
      </c>
      <c r="F272" s="48" t="s">
        <v>692</v>
      </c>
      <c r="G272" s="48" t="s">
        <v>692</v>
      </c>
      <c r="H272" s="48" t="s">
        <v>692</v>
      </c>
      <c r="I272" s="48" t="s">
        <v>692</v>
      </c>
      <c r="J272" s="53">
        <v>375500</v>
      </c>
      <c r="K272" s="53">
        <v>0</v>
      </c>
      <c r="L272" s="53">
        <v>375500</v>
      </c>
      <c r="M272" s="54">
        <v>319175</v>
      </c>
      <c r="N272" s="54">
        <v>56325</v>
      </c>
      <c r="O272" s="52">
        <v>0</v>
      </c>
      <c r="P272" s="4">
        <f t="shared" si="8"/>
        <v>1</v>
      </c>
      <c r="Q272" s="71"/>
      <c r="R272" s="71"/>
      <c r="S272" s="3">
        <f t="shared" si="7"/>
        <v>0</v>
      </c>
    </row>
    <row r="273" spans="1:19" ht="44.35" x14ac:dyDescent="0.3">
      <c r="A273" s="5" t="s">
        <v>7</v>
      </c>
      <c r="B273" s="5" t="s">
        <v>414</v>
      </c>
      <c r="C273" s="5">
        <v>472624</v>
      </c>
      <c r="D273" s="5" t="s">
        <v>426</v>
      </c>
      <c r="E273" s="37" t="s">
        <v>427</v>
      </c>
      <c r="F273" s="5" t="s">
        <v>692</v>
      </c>
      <c r="G273" s="5" t="s">
        <v>692</v>
      </c>
      <c r="H273" s="5" t="s">
        <v>692</v>
      </c>
      <c r="I273" s="5" t="s">
        <v>692</v>
      </c>
      <c r="J273" s="53">
        <v>1248168.1099999999</v>
      </c>
      <c r="K273" s="53">
        <v>0</v>
      </c>
      <c r="L273" s="53">
        <v>1248168.1099999999</v>
      </c>
      <c r="M273" s="54">
        <v>1060942.8934999998</v>
      </c>
      <c r="N273" s="54">
        <v>187225.2165000001</v>
      </c>
      <c r="O273" s="52">
        <v>0</v>
      </c>
      <c r="P273" s="4">
        <f t="shared" si="8"/>
        <v>1</v>
      </c>
      <c r="Q273" s="71"/>
      <c r="R273" s="71"/>
      <c r="S273" s="3">
        <f t="shared" si="7"/>
        <v>0</v>
      </c>
    </row>
    <row r="274" spans="1:19" ht="29.55" x14ac:dyDescent="0.3">
      <c r="A274" s="5" t="s">
        <v>7</v>
      </c>
      <c r="B274" s="5" t="s">
        <v>414</v>
      </c>
      <c r="C274" s="5">
        <v>472624</v>
      </c>
      <c r="D274" s="5" t="s">
        <v>426</v>
      </c>
      <c r="E274" s="34" t="s">
        <v>428</v>
      </c>
      <c r="F274" s="5" t="s">
        <v>692</v>
      </c>
      <c r="G274" s="5" t="s">
        <v>692</v>
      </c>
      <c r="H274" s="5" t="s">
        <v>692</v>
      </c>
      <c r="I274" s="5" t="s">
        <v>692</v>
      </c>
      <c r="J274" s="53">
        <v>214345.79</v>
      </c>
      <c r="K274" s="53">
        <v>0</v>
      </c>
      <c r="L274" s="53">
        <v>214345.79</v>
      </c>
      <c r="M274" s="54">
        <v>182193.9215</v>
      </c>
      <c r="N274" s="54">
        <v>32151.868500000011</v>
      </c>
      <c r="O274" s="52">
        <v>0</v>
      </c>
      <c r="P274" s="4">
        <f t="shared" si="8"/>
        <v>1</v>
      </c>
      <c r="Q274" s="71"/>
      <c r="R274" s="71"/>
      <c r="S274" s="3">
        <f t="shared" si="7"/>
        <v>0</v>
      </c>
    </row>
    <row r="275" spans="1:19" ht="29.55" x14ac:dyDescent="0.3">
      <c r="A275" s="5" t="s">
        <v>7</v>
      </c>
      <c r="B275" s="5" t="s">
        <v>414</v>
      </c>
      <c r="C275" s="5">
        <v>472624</v>
      </c>
      <c r="D275" s="5" t="s">
        <v>426</v>
      </c>
      <c r="E275" s="34" t="s">
        <v>429</v>
      </c>
      <c r="F275" s="48" t="s">
        <v>692</v>
      </c>
      <c r="G275" s="48" t="s">
        <v>692</v>
      </c>
      <c r="H275" s="48" t="s">
        <v>692</v>
      </c>
      <c r="I275" s="48" t="s">
        <v>692</v>
      </c>
      <c r="J275" s="53">
        <v>79119.25</v>
      </c>
      <c r="K275" s="56">
        <v>0</v>
      </c>
      <c r="L275" s="56">
        <v>79119.25</v>
      </c>
      <c r="M275" s="54">
        <v>67251.362500000003</v>
      </c>
      <c r="N275" s="54">
        <v>11867.887499999997</v>
      </c>
      <c r="O275" s="52">
        <v>0</v>
      </c>
      <c r="P275" s="4">
        <f t="shared" si="8"/>
        <v>1</v>
      </c>
      <c r="Q275" s="71"/>
      <c r="R275" s="71"/>
      <c r="S275" s="3">
        <f t="shared" si="7"/>
        <v>0</v>
      </c>
    </row>
    <row r="276" spans="1:19" ht="29.55" x14ac:dyDescent="0.3">
      <c r="A276" s="5" t="s">
        <v>7</v>
      </c>
      <c r="B276" s="5" t="s">
        <v>414</v>
      </c>
      <c r="C276" s="5">
        <v>562850</v>
      </c>
      <c r="D276" s="5" t="s">
        <v>430</v>
      </c>
      <c r="E276" s="37" t="s">
        <v>431</v>
      </c>
      <c r="F276" s="48" t="s">
        <v>692</v>
      </c>
      <c r="G276" s="48" t="s">
        <v>692</v>
      </c>
      <c r="H276" s="48" t="s">
        <v>692</v>
      </c>
      <c r="I276" s="48" t="s">
        <v>692</v>
      </c>
      <c r="J276" s="53">
        <v>496519.83999999997</v>
      </c>
      <c r="K276" s="56">
        <v>0</v>
      </c>
      <c r="L276" s="56">
        <v>496519.83999999997</v>
      </c>
      <c r="M276" s="54">
        <v>422041.86399999994</v>
      </c>
      <c r="N276" s="55">
        <v>74477.976000000024</v>
      </c>
      <c r="O276" s="52">
        <v>0</v>
      </c>
      <c r="P276" s="4">
        <f t="shared" si="8"/>
        <v>1</v>
      </c>
      <c r="Q276" s="71"/>
      <c r="R276" s="71"/>
      <c r="S276" s="3">
        <f t="shared" si="7"/>
        <v>0</v>
      </c>
    </row>
    <row r="277" spans="1:19" ht="29.55" x14ac:dyDescent="0.3">
      <c r="A277" s="5" t="s">
        <v>7</v>
      </c>
      <c r="B277" s="5" t="s">
        <v>414</v>
      </c>
      <c r="C277" s="5">
        <v>562850</v>
      </c>
      <c r="D277" s="5" t="s">
        <v>430</v>
      </c>
      <c r="E277" s="37" t="s">
        <v>432</v>
      </c>
      <c r="F277" s="48" t="s">
        <v>692</v>
      </c>
      <c r="G277" s="48" t="s">
        <v>692</v>
      </c>
      <c r="H277" s="48" t="s">
        <v>692</v>
      </c>
      <c r="I277" s="48" t="s">
        <v>692</v>
      </c>
      <c r="J277" s="53">
        <v>382091.14</v>
      </c>
      <c r="K277" s="56">
        <v>0</v>
      </c>
      <c r="L277" s="56">
        <v>382091.14</v>
      </c>
      <c r="M277" s="54">
        <v>324777.46899999998</v>
      </c>
      <c r="N277" s="54">
        <v>57313.671000000031</v>
      </c>
      <c r="O277" s="52">
        <v>0</v>
      </c>
      <c r="P277" s="4">
        <f t="shared" si="8"/>
        <v>1</v>
      </c>
      <c r="Q277" s="71"/>
      <c r="R277" s="71"/>
      <c r="S277" s="3">
        <f t="shared" si="7"/>
        <v>0</v>
      </c>
    </row>
    <row r="278" spans="1:19" ht="29.55" x14ac:dyDescent="0.3">
      <c r="A278" s="5" t="s">
        <v>7</v>
      </c>
      <c r="B278" s="5" t="s">
        <v>414</v>
      </c>
      <c r="C278" s="5">
        <v>562850</v>
      </c>
      <c r="D278" s="5" t="s">
        <v>430</v>
      </c>
      <c r="E278" s="37" t="s">
        <v>433</v>
      </c>
      <c r="F278" s="48" t="s">
        <v>692</v>
      </c>
      <c r="G278" s="48" t="s">
        <v>692</v>
      </c>
      <c r="H278" s="48" t="s">
        <v>692</v>
      </c>
      <c r="I278" s="48" t="s">
        <v>692</v>
      </c>
      <c r="J278" s="53">
        <v>278453.55</v>
      </c>
      <c r="K278" s="56">
        <v>0</v>
      </c>
      <c r="L278" s="56">
        <v>278453.55</v>
      </c>
      <c r="M278" s="54">
        <v>236685.51749999999</v>
      </c>
      <c r="N278" s="55">
        <v>41768.032500000001</v>
      </c>
      <c r="O278" s="52">
        <v>0</v>
      </c>
      <c r="P278" s="4">
        <f t="shared" si="8"/>
        <v>1</v>
      </c>
      <c r="Q278" s="71"/>
      <c r="R278" s="71"/>
      <c r="S278" s="3">
        <f t="shared" si="7"/>
        <v>0</v>
      </c>
    </row>
    <row r="279" spans="1:19" ht="44.35" x14ac:dyDescent="0.3">
      <c r="A279" s="5" t="s">
        <v>7</v>
      </c>
      <c r="B279" s="5" t="s">
        <v>414</v>
      </c>
      <c r="C279" s="5">
        <v>505420</v>
      </c>
      <c r="D279" s="5" t="s">
        <v>434</v>
      </c>
      <c r="E279" s="37" t="s">
        <v>435</v>
      </c>
      <c r="F279" s="48" t="s">
        <v>692</v>
      </c>
      <c r="G279" s="48" t="s">
        <v>692</v>
      </c>
      <c r="H279" s="48" t="s">
        <v>692</v>
      </c>
      <c r="I279" s="48" t="s">
        <v>692</v>
      </c>
      <c r="J279" s="53">
        <v>467812.87</v>
      </c>
      <c r="K279" s="56">
        <v>0</v>
      </c>
      <c r="L279" s="56">
        <v>467812.87</v>
      </c>
      <c r="M279" s="54">
        <v>397640.93949999998</v>
      </c>
      <c r="N279" s="54">
        <v>70171.930500000017</v>
      </c>
      <c r="O279" s="52">
        <v>0</v>
      </c>
      <c r="P279" s="4">
        <f t="shared" si="8"/>
        <v>1</v>
      </c>
      <c r="Q279" s="71"/>
      <c r="R279" s="71"/>
      <c r="S279" s="3">
        <f t="shared" si="7"/>
        <v>0</v>
      </c>
    </row>
    <row r="280" spans="1:19" ht="59.1" x14ac:dyDescent="0.3">
      <c r="A280" s="5" t="s">
        <v>7</v>
      </c>
      <c r="B280" s="5" t="s">
        <v>414</v>
      </c>
      <c r="C280" s="10">
        <v>505420</v>
      </c>
      <c r="D280" s="5" t="s">
        <v>434</v>
      </c>
      <c r="E280" s="37" t="s">
        <v>436</v>
      </c>
      <c r="F280" s="48" t="s">
        <v>692</v>
      </c>
      <c r="G280" s="48" t="s">
        <v>692</v>
      </c>
      <c r="H280" s="48" t="s">
        <v>692</v>
      </c>
      <c r="I280" s="48" t="s">
        <v>692</v>
      </c>
      <c r="J280" s="53">
        <v>230406.65</v>
      </c>
      <c r="K280" s="56">
        <v>34560.920000000013</v>
      </c>
      <c r="L280" s="56">
        <v>195845.72999999998</v>
      </c>
      <c r="M280" s="54">
        <v>195845.72999999998</v>
      </c>
      <c r="N280" s="54">
        <v>0</v>
      </c>
      <c r="O280" s="52">
        <v>0</v>
      </c>
      <c r="P280" s="4">
        <f t="shared" si="8"/>
        <v>0.85000033636181938</v>
      </c>
      <c r="Q280" s="71"/>
      <c r="R280" s="71"/>
      <c r="S280" s="3">
        <f t="shared" si="7"/>
        <v>0</v>
      </c>
    </row>
    <row r="281" spans="1:19" x14ac:dyDescent="0.3">
      <c r="A281" s="5" t="s">
        <v>7</v>
      </c>
      <c r="B281" s="5" t="s">
        <v>414</v>
      </c>
      <c r="C281" s="5">
        <v>505420</v>
      </c>
      <c r="D281" s="5" t="s">
        <v>434</v>
      </c>
      <c r="E281" s="37" t="s">
        <v>437</v>
      </c>
      <c r="F281" s="48" t="s">
        <v>692</v>
      </c>
      <c r="G281" s="48" t="s">
        <v>692</v>
      </c>
      <c r="H281" s="48" t="s">
        <v>692</v>
      </c>
      <c r="I281" s="48" t="s">
        <v>692</v>
      </c>
      <c r="J281" s="53">
        <v>170133.55</v>
      </c>
      <c r="K281" s="56">
        <v>0</v>
      </c>
      <c r="L281" s="56">
        <v>170133.55</v>
      </c>
      <c r="M281" s="54">
        <v>144613.51749999999</v>
      </c>
      <c r="N281" s="54">
        <v>25520.032500000001</v>
      </c>
      <c r="O281" s="52">
        <v>0</v>
      </c>
      <c r="P281" s="4">
        <f t="shared" si="8"/>
        <v>1</v>
      </c>
      <c r="Q281" s="71"/>
      <c r="R281" s="71"/>
      <c r="S281" s="3">
        <f t="shared" si="7"/>
        <v>0</v>
      </c>
    </row>
    <row r="282" spans="1:19" ht="29.55" x14ac:dyDescent="0.3">
      <c r="A282" s="5" t="s">
        <v>7</v>
      </c>
      <c r="B282" s="5" t="s">
        <v>414</v>
      </c>
      <c r="C282" s="5">
        <v>505420</v>
      </c>
      <c r="D282" s="5" t="s">
        <v>434</v>
      </c>
      <c r="E282" s="37" t="s">
        <v>438</v>
      </c>
      <c r="F282" s="48" t="s">
        <v>692</v>
      </c>
      <c r="G282" s="48">
        <v>3286</v>
      </c>
      <c r="H282" s="48">
        <v>581764</v>
      </c>
      <c r="I282" s="48">
        <v>864882</v>
      </c>
      <c r="J282" s="53">
        <v>165975.86000000002</v>
      </c>
      <c r="K282" s="56">
        <v>24896.510000000038</v>
      </c>
      <c r="L282" s="56">
        <v>141079.34999999998</v>
      </c>
      <c r="M282" s="54">
        <v>141079.34999999998</v>
      </c>
      <c r="N282" s="55">
        <v>0</v>
      </c>
      <c r="O282" s="52">
        <v>0</v>
      </c>
      <c r="P282" s="4">
        <f t="shared" si="8"/>
        <v>0.84999921072859608</v>
      </c>
      <c r="Q282" s="71"/>
      <c r="R282" s="71"/>
      <c r="S282" s="3">
        <f t="shared" si="7"/>
        <v>0</v>
      </c>
    </row>
    <row r="283" spans="1:19" ht="44.35" x14ac:dyDescent="0.3">
      <c r="A283" s="5" t="s">
        <v>7</v>
      </c>
      <c r="B283" s="5" t="s">
        <v>414</v>
      </c>
      <c r="C283" s="5">
        <v>505420</v>
      </c>
      <c r="D283" s="5" t="s">
        <v>434</v>
      </c>
      <c r="E283" s="37" t="s">
        <v>439</v>
      </c>
      <c r="F283" s="48" t="s">
        <v>692</v>
      </c>
      <c r="G283" s="48" t="s">
        <v>692</v>
      </c>
      <c r="H283" s="48" t="s">
        <v>692</v>
      </c>
      <c r="I283" s="48" t="s">
        <v>692</v>
      </c>
      <c r="J283" s="53">
        <v>283.08</v>
      </c>
      <c r="K283" s="56">
        <v>0</v>
      </c>
      <c r="L283" s="56">
        <v>283.08</v>
      </c>
      <c r="M283" s="54">
        <v>240.61799999999997</v>
      </c>
      <c r="N283" s="55">
        <v>42.462000000000018</v>
      </c>
      <c r="O283" s="52">
        <v>0</v>
      </c>
      <c r="P283" s="4">
        <f t="shared" si="8"/>
        <v>1</v>
      </c>
      <c r="Q283" s="71"/>
      <c r="R283" s="71"/>
      <c r="S283" s="3">
        <f t="shared" si="7"/>
        <v>0</v>
      </c>
    </row>
    <row r="284" spans="1:19" x14ac:dyDescent="0.3">
      <c r="A284" s="5" t="s">
        <v>7</v>
      </c>
      <c r="B284" s="5" t="s">
        <v>414</v>
      </c>
      <c r="C284" s="5">
        <v>632120</v>
      </c>
      <c r="D284" s="5" t="s">
        <v>440</v>
      </c>
      <c r="E284" s="37" t="s">
        <v>441</v>
      </c>
      <c r="F284" s="18" t="s">
        <v>692</v>
      </c>
      <c r="G284" s="18" t="s">
        <v>692</v>
      </c>
      <c r="H284" s="18" t="s">
        <v>692</v>
      </c>
      <c r="I284" s="18" t="s">
        <v>692</v>
      </c>
      <c r="J284" s="53">
        <v>1745000</v>
      </c>
      <c r="K284" s="56">
        <v>0</v>
      </c>
      <c r="L284" s="56">
        <v>1745000</v>
      </c>
      <c r="M284" s="54">
        <v>1483250</v>
      </c>
      <c r="N284" s="54">
        <v>261750</v>
      </c>
      <c r="O284" s="52">
        <v>0</v>
      </c>
      <c r="P284" s="4">
        <f t="shared" si="8"/>
        <v>1</v>
      </c>
      <c r="Q284" s="71"/>
      <c r="R284" s="71"/>
      <c r="S284" s="3">
        <f t="shared" si="7"/>
        <v>0</v>
      </c>
    </row>
    <row r="285" spans="1:19" ht="44.35" x14ac:dyDescent="0.3">
      <c r="A285" s="5" t="s">
        <v>7</v>
      </c>
      <c r="B285" s="5" t="s">
        <v>414</v>
      </c>
      <c r="C285" s="5">
        <v>614306</v>
      </c>
      <c r="D285" s="5" t="s">
        <v>442</v>
      </c>
      <c r="E285" s="38" t="s">
        <v>38</v>
      </c>
      <c r="F285" s="48" t="s">
        <v>692</v>
      </c>
      <c r="G285" s="48" t="s">
        <v>692</v>
      </c>
      <c r="H285" s="48" t="s">
        <v>692</v>
      </c>
      <c r="I285" s="48" t="s">
        <v>692</v>
      </c>
      <c r="J285" s="53">
        <v>472626</v>
      </c>
      <c r="K285" s="56">
        <v>0</v>
      </c>
      <c r="L285" s="56">
        <v>472626</v>
      </c>
      <c r="M285" s="54">
        <v>401732.1</v>
      </c>
      <c r="N285" s="54">
        <v>70893.900000000023</v>
      </c>
      <c r="O285" s="52">
        <v>0</v>
      </c>
      <c r="P285" s="4">
        <f t="shared" si="8"/>
        <v>1</v>
      </c>
      <c r="Q285" s="71"/>
      <c r="R285" s="71"/>
      <c r="S285" s="3">
        <f t="shared" si="7"/>
        <v>0</v>
      </c>
    </row>
    <row r="286" spans="1:19" x14ac:dyDescent="0.3">
      <c r="A286" s="5" t="s">
        <v>7</v>
      </c>
      <c r="B286" s="5" t="s">
        <v>414</v>
      </c>
      <c r="C286" s="5">
        <v>614306</v>
      </c>
      <c r="D286" s="5" t="s">
        <v>442</v>
      </c>
      <c r="E286" s="37" t="s">
        <v>443</v>
      </c>
      <c r="F286" s="49" t="s">
        <v>692</v>
      </c>
      <c r="G286" s="49">
        <v>3286</v>
      </c>
      <c r="H286" s="49">
        <v>581765</v>
      </c>
      <c r="I286" s="49">
        <v>951692</v>
      </c>
      <c r="J286" s="53">
        <v>182673.07</v>
      </c>
      <c r="K286" s="56">
        <v>27400.990500000014</v>
      </c>
      <c r="L286" s="56">
        <v>155272.07949999999</v>
      </c>
      <c r="M286" s="54">
        <v>155272.07949999999</v>
      </c>
      <c r="N286" s="54">
        <v>0</v>
      </c>
      <c r="O286" s="52">
        <v>0</v>
      </c>
      <c r="P286" s="4">
        <f t="shared" si="8"/>
        <v>0.8499998357721803</v>
      </c>
      <c r="Q286" s="71"/>
      <c r="R286" s="71"/>
      <c r="S286" s="3">
        <f t="shared" si="7"/>
        <v>0</v>
      </c>
    </row>
    <row r="287" spans="1:19" ht="29.55" x14ac:dyDescent="0.3">
      <c r="A287" s="5" t="s">
        <v>7</v>
      </c>
      <c r="B287" s="5" t="s">
        <v>414</v>
      </c>
      <c r="C287" s="5">
        <v>614306</v>
      </c>
      <c r="D287" s="5" t="s">
        <v>442</v>
      </c>
      <c r="E287" s="40" t="s">
        <v>670</v>
      </c>
      <c r="F287" s="48" t="s">
        <v>692</v>
      </c>
      <c r="G287" s="48">
        <v>3286</v>
      </c>
      <c r="H287" s="48">
        <v>581791</v>
      </c>
      <c r="I287" s="48">
        <v>951701</v>
      </c>
      <c r="J287" s="53">
        <v>725205.21</v>
      </c>
      <c r="K287" s="56">
        <v>362602.60999999993</v>
      </c>
      <c r="L287" s="56">
        <v>362602.60000000003</v>
      </c>
      <c r="M287" s="54">
        <v>362602.60000000003</v>
      </c>
      <c r="N287" s="54">
        <v>0</v>
      </c>
      <c r="O287" s="52">
        <v>0</v>
      </c>
      <c r="P287" s="4">
        <f t="shared" si="8"/>
        <v>0.49999999310539983</v>
      </c>
      <c r="Q287" s="71"/>
      <c r="R287" s="71"/>
      <c r="S287" s="3">
        <f t="shared" si="7"/>
        <v>0</v>
      </c>
    </row>
    <row r="288" spans="1:19" ht="29.55" x14ac:dyDescent="0.3">
      <c r="A288" s="5" t="s">
        <v>7</v>
      </c>
      <c r="B288" s="5" t="s">
        <v>414</v>
      </c>
      <c r="C288" s="5">
        <v>614306</v>
      </c>
      <c r="D288" s="5" t="s">
        <v>442</v>
      </c>
      <c r="E288" s="37" t="s">
        <v>444</v>
      </c>
      <c r="F288" s="48" t="s">
        <v>692</v>
      </c>
      <c r="G288" s="48" t="s">
        <v>692</v>
      </c>
      <c r="H288" s="48" t="s">
        <v>692</v>
      </c>
      <c r="I288" s="48" t="s">
        <v>692</v>
      </c>
      <c r="J288" s="53">
        <v>157417.76</v>
      </c>
      <c r="K288" s="56">
        <v>0</v>
      </c>
      <c r="L288" s="56">
        <v>157417.76</v>
      </c>
      <c r="M288" s="54">
        <v>133805.09599999999</v>
      </c>
      <c r="N288" s="54">
        <v>23612.664000000019</v>
      </c>
      <c r="O288" s="52">
        <v>0</v>
      </c>
      <c r="P288" s="4">
        <f t="shared" si="8"/>
        <v>1</v>
      </c>
      <c r="Q288" s="71"/>
      <c r="R288" s="71"/>
      <c r="S288" s="3">
        <f t="shared" si="7"/>
        <v>0</v>
      </c>
    </row>
    <row r="289" spans="1:19" ht="29.55" x14ac:dyDescent="0.3">
      <c r="A289" s="5" t="s">
        <v>7</v>
      </c>
      <c r="B289" s="5" t="s">
        <v>414</v>
      </c>
      <c r="C289" s="5">
        <v>623647</v>
      </c>
      <c r="D289" s="5" t="s">
        <v>445</v>
      </c>
      <c r="E289" s="37" t="s">
        <v>446</v>
      </c>
      <c r="F289" s="49" t="s">
        <v>692</v>
      </c>
      <c r="G289" s="49" t="s">
        <v>692</v>
      </c>
      <c r="H289" s="49" t="s">
        <v>692</v>
      </c>
      <c r="I289" s="49" t="s">
        <v>692</v>
      </c>
      <c r="J289" s="53">
        <v>100056</v>
      </c>
      <c r="K289" s="56">
        <v>0</v>
      </c>
      <c r="L289" s="56">
        <v>100056</v>
      </c>
      <c r="M289" s="54">
        <v>85047.599999999991</v>
      </c>
      <c r="N289" s="54">
        <v>15008.400000000009</v>
      </c>
      <c r="O289" s="52">
        <v>0</v>
      </c>
      <c r="P289" s="4">
        <f t="shared" si="8"/>
        <v>1</v>
      </c>
      <c r="Q289" s="71"/>
      <c r="R289" s="71"/>
      <c r="S289" s="3">
        <f t="shared" si="7"/>
        <v>0</v>
      </c>
    </row>
    <row r="290" spans="1:19" ht="29.55" x14ac:dyDescent="0.3">
      <c r="A290" s="5" t="s">
        <v>7</v>
      </c>
      <c r="B290" s="5" t="s">
        <v>414</v>
      </c>
      <c r="C290" s="5">
        <v>623647</v>
      </c>
      <c r="D290" s="5" t="s">
        <v>445</v>
      </c>
      <c r="E290" s="40" t="s">
        <v>671</v>
      </c>
      <c r="F290" s="48" t="s">
        <v>692</v>
      </c>
      <c r="G290" s="48" t="s">
        <v>692</v>
      </c>
      <c r="H290" s="48" t="s">
        <v>692</v>
      </c>
      <c r="I290" s="48" t="s">
        <v>692</v>
      </c>
      <c r="J290" s="53">
        <v>247054.21000000002</v>
      </c>
      <c r="K290" s="56">
        <v>0</v>
      </c>
      <c r="L290" s="56">
        <v>247054.21000000002</v>
      </c>
      <c r="M290" s="54">
        <v>209996.0785</v>
      </c>
      <c r="N290" s="54">
        <v>37058.131500000018</v>
      </c>
      <c r="O290" s="52">
        <v>0</v>
      </c>
      <c r="P290" s="4">
        <f t="shared" si="8"/>
        <v>1</v>
      </c>
      <c r="Q290" s="71"/>
      <c r="R290" s="71"/>
      <c r="S290" s="3">
        <f t="shared" si="7"/>
        <v>0</v>
      </c>
    </row>
    <row r="291" spans="1:19" ht="29.55" x14ac:dyDescent="0.3">
      <c r="A291" s="5" t="s">
        <v>7</v>
      </c>
      <c r="B291" s="5" t="s">
        <v>414</v>
      </c>
      <c r="C291" s="5">
        <v>623647</v>
      </c>
      <c r="D291" s="5" t="s">
        <v>445</v>
      </c>
      <c r="E291" s="37" t="s">
        <v>447</v>
      </c>
      <c r="F291" s="18" t="s">
        <v>692</v>
      </c>
      <c r="G291" s="18" t="s">
        <v>692</v>
      </c>
      <c r="H291" s="18" t="s">
        <v>692</v>
      </c>
      <c r="I291" s="18" t="s">
        <v>692</v>
      </c>
      <c r="J291" s="53">
        <v>48770.76</v>
      </c>
      <c r="K291" s="56">
        <v>0</v>
      </c>
      <c r="L291" s="56">
        <v>48770.76</v>
      </c>
      <c r="M291" s="54">
        <v>41455.146000000001</v>
      </c>
      <c r="N291" s="54">
        <v>7315.6140000000014</v>
      </c>
      <c r="O291" s="52">
        <v>0</v>
      </c>
      <c r="P291" s="4">
        <f t="shared" si="8"/>
        <v>1</v>
      </c>
      <c r="Q291" s="71"/>
      <c r="R291" s="71"/>
      <c r="S291" s="3">
        <f t="shared" si="7"/>
        <v>0</v>
      </c>
    </row>
    <row r="292" spans="1:19" x14ac:dyDescent="0.3">
      <c r="A292" s="5" t="s">
        <v>7</v>
      </c>
      <c r="B292" s="5" t="s">
        <v>414</v>
      </c>
      <c r="C292" s="5">
        <v>623647</v>
      </c>
      <c r="D292" s="5" t="s">
        <v>445</v>
      </c>
      <c r="E292" s="38" t="s">
        <v>83</v>
      </c>
      <c r="F292" s="48" t="s">
        <v>692</v>
      </c>
      <c r="G292" s="48" t="s">
        <v>692</v>
      </c>
      <c r="H292" s="48" t="s">
        <v>692</v>
      </c>
      <c r="I292" s="48" t="s">
        <v>692</v>
      </c>
      <c r="J292" s="53">
        <v>12004.8</v>
      </c>
      <c r="K292" s="56">
        <v>0</v>
      </c>
      <c r="L292" s="56">
        <v>12004.8</v>
      </c>
      <c r="M292" s="54">
        <v>10204.08</v>
      </c>
      <c r="N292" s="54">
        <v>1800.7199999999993</v>
      </c>
      <c r="O292" s="52">
        <v>0</v>
      </c>
      <c r="P292" s="4">
        <f t="shared" si="8"/>
        <v>1</v>
      </c>
      <c r="Q292" s="71"/>
      <c r="R292" s="71"/>
      <c r="S292" s="3">
        <f t="shared" si="7"/>
        <v>0</v>
      </c>
    </row>
    <row r="293" spans="1:19" x14ac:dyDescent="0.3">
      <c r="A293" s="5" t="s">
        <v>7</v>
      </c>
      <c r="B293" s="5" t="s">
        <v>414</v>
      </c>
      <c r="C293" s="5">
        <v>623647</v>
      </c>
      <c r="D293" s="5" t="s">
        <v>445</v>
      </c>
      <c r="E293" s="37" t="s">
        <v>295</v>
      </c>
      <c r="F293" s="48" t="s">
        <v>692</v>
      </c>
      <c r="G293" s="48" t="s">
        <v>692</v>
      </c>
      <c r="H293" s="48" t="s">
        <v>692</v>
      </c>
      <c r="I293" s="48" t="s">
        <v>692</v>
      </c>
      <c r="J293" s="53">
        <v>1143020</v>
      </c>
      <c r="K293" s="56">
        <v>0</v>
      </c>
      <c r="L293" s="56">
        <v>1143020</v>
      </c>
      <c r="M293" s="54">
        <v>971567</v>
      </c>
      <c r="N293" s="54">
        <v>171453</v>
      </c>
      <c r="O293" s="52">
        <v>0</v>
      </c>
      <c r="P293" s="4">
        <f t="shared" si="8"/>
        <v>1</v>
      </c>
      <c r="Q293" s="71"/>
      <c r="R293" s="71"/>
      <c r="S293" s="3">
        <f t="shared" si="7"/>
        <v>0</v>
      </c>
    </row>
    <row r="294" spans="1:19" x14ac:dyDescent="0.3">
      <c r="A294" s="5" t="s">
        <v>7</v>
      </c>
      <c r="B294" s="5" t="s">
        <v>414</v>
      </c>
      <c r="C294" s="5">
        <v>635807</v>
      </c>
      <c r="D294" s="5" t="s">
        <v>448</v>
      </c>
      <c r="E294" s="37" t="s">
        <v>391</v>
      </c>
      <c r="F294" s="48" t="s">
        <v>692</v>
      </c>
      <c r="G294" s="48" t="s">
        <v>692</v>
      </c>
      <c r="H294" s="48" t="s">
        <v>692</v>
      </c>
      <c r="I294" s="48" t="s">
        <v>692</v>
      </c>
      <c r="J294" s="53">
        <v>350838.19</v>
      </c>
      <c r="K294" s="56">
        <v>0</v>
      </c>
      <c r="L294" s="56">
        <v>350838.19</v>
      </c>
      <c r="M294" s="54">
        <v>298212.46149999998</v>
      </c>
      <c r="N294" s="54">
        <v>52625.728500000027</v>
      </c>
      <c r="O294" s="52">
        <v>0</v>
      </c>
      <c r="P294" s="4">
        <f t="shared" si="8"/>
        <v>1</v>
      </c>
      <c r="Q294" s="71"/>
      <c r="R294" s="71"/>
      <c r="S294" s="3">
        <f t="shared" si="7"/>
        <v>0</v>
      </c>
    </row>
    <row r="295" spans="1:19" x14ac:dyDescent="0.3">
      <c r="A295" s="5" t="s">
        <v>7</v>
      </c>
      <c r="B295" s="5" t="s">
        <v>414</v>
      </c>
      <c r="C295" s="5">
        <v>635807</v>
      </c>
      <c r="D295" s="5" t="s">
        <v>448</v>
      </c>
      <c r="E295" s="37" t="s">
        <v>449</v>
      </c>
      <c r="F295" s="48" t="s">
        <v>692</v>
      </c>
      <c r="G295" s="48" t="s">
        <v>692</v>
      </c>
      <c r="H295" s="48" t="s">
        <v>692</v>
      </c>
      <c r="I295" s="48" t="s">
        <v>692</v>
      </c>
      <c r="J295" s="53">
        <v>505099.5</v>
      </c>
      <c r="K295" s="56">
        <v>0</v>
      </c>
      <c r="L295" s="56">
        <v>505099.5</v>
      </c>
      <c r="M295" s="54">
        <v>429334.57500000001</v>
      </c>
      <c r="N295" s="54">
        <v>75764.924999999988</v>
      </c>
      <c r="O295" s="52">
        <v>0</v>
      </c>
      <c r="P295" s="4">
        <f t="shared" si="8"/>
        <v>1</v>
      </c>
      <c r="Q295" s="71"/>
      <c r="R295" s="71"/>
      <c r="S295" s="3">
        <f t="shared" si="7"/>
        <v>0</v>
      </c>
    </row>
    <row r="296" spans="1:19" ht="29.55" x14ac:dyDescent="0.3">
      <c r="A296" s="5" t="s">
        <v>7</v>
      </c>
      <c r="B296" s="5" t="s">
        <v>414</v>
      </c>
      <c r="C296" s="5">
        <v>635807</v>
      </c>
      <c r="D296" s="5" t="s">
        <v>448</v>
      </c>
      <c r="E296" s="37" t="s">
        <v>450</v>
      </c>
      <c r="F296" s="48" t="s">
        <v>692</v>
      </c>
      <c r="G296" s="48" t="s">
        <v>692</v>
      </c>
      <c r="H296" s="48" t="s">
        <v>692</v>
      </c>
      <c r="I296" s="48" t="s">
        <v>692</v>
      </c>
      <c r="J296" s="53">
        <v>112000.11</v>
      </c>
      <c r="K296" s="56">
        <v>0</v>
      </c>
      <c r="L296" s="56">
        <v>112000.11</v>
      </c>
      <c r="M296" s="54">
        <v>95200.093500000003</v>
      </c>
      <c r="N296" s="54">
        <v>16800.016499999998</v>
      </c>
      <c r="O296" s="52">
        <v>0</v>
      </c>
      <c r="P296" s="4">
        <f t="shared" si="8"/>
        <v>1</v>
      </c>
      <c r="Q296" s="71"/>
      <c r="R296" s="71"/>
      <c r="S296" s="3">
        <f t="shared" si="7"/>
        <v>0</v>
      </c>
    </row>
    <row r="297" spans="1:19" ht="29.55" x14ac:dyDescent="0.3">
      <c r="A297" s="5" t="s">
        <v>7</v>
      </c>
      <c r="B297" s="5" t="s">
        <v>451</v>
      </c>
      <c r="C297" s="5">
        <v>635807</v>
      </c>
      <c r="D297" s="5" t="s">
        <v>448</v>
      </c>
      <c r="E297" s="37" t="s">
        <v>452</v>
      </c>
      <c r="F297" s="48" t="s">
        <v>692</v>
      </c>
      <c r="G297" s="48" t="s">
        <v>692</v>
      </c>
      <c r="H297" s="48" t="s">
        <v>692</v>
      </c>
      <c r="I297" s="48" t="s">
        <v>692</v>
      </c>
      <c r="J297" s="53">
        <v>119918.85</v>
      </c>
      <c r="K297" s="56">
        <v>0</v>
      </c>
      <c r="L297" s="56">
        <v>119918.85</v>
      </c>
      <c r="M297" s="54">
        <v>101931.02250000001</v>
      </c>
      <c r="N297" s="54">
        <v>17987.827499999999</v>
      </c>
      <c r="O297" s="52">
        <v>0</v>
      </c>
      <c r="P297" s="4">
        <f t="shared" si="8"/>
        <v>1</v>
      </c>
      <c r="Q297" s="71"/>
      <c r="R297" s="71"/>
      <c r="S297" s="3">
        <f t="shared" si="7"/>
        <v>0</v>
      </c>
    </row>
    <row r="298" spans="1:19" x14ac:dyDescent="0.3">
      <c r="A298" s="5" t="s">
        <v>7</v>
      </c>
      <c r="B298" s="5" t="s">
        <v>451</v>
      </c>
      <c r="C298" s="5">
        <v>635807</v>
      </c>
      <c r="D298" s="5" t="s">
        <v>448</v>
      </c>
      <c r="E298" s="37" t="s">
        <v>453</v>
      </c>
      <c r="F298" s="48" t="s">
        <v>692</v>
      </c>
      <c r="G298" s="48" t="s">
        <v>692</v>
      </c>
      <c r="H298" s="48" t="s">
        <v>692</v>
      </c>
      <c r="I298" s="48" t="s">
        <v>692</v>
      </c>
      <c r="J298" s="53">
        <v>100000.23</v>
      </c>
      <c r="K298" s="56">
        <v>0</v>
      </c>
      <c r="L298" s="56">
        <v>100000.23</v>
      </c>
      <c r="M298" s="54">
        <v>85000.195499999987</v>
      </c>
      <c r="N298" s="54">
        <v>15000.034500000009</v>
      </c>
      <c r="O298" s="52">
        <v>0</v>
      </c>
      <c r="P298" s="4">
        <f t="shared" si="8"/>
        <v>1</v>
      </c>
      <c r="Q298" s="71"/>
      <c r="R298" s="71"/>
      <c r="S298" s="3">
        <f t="shared" si="7"/>
        <v>0</v>
      </c>
    </row>
    <row r="299" spans="1:19" ht="29.55" x14ac:dyDescent="0.3">
      <c r="A299" s="5" t="s">
        <v>7</v>
      </c>
      <c r="B299" s="5" t="s">
        <v>451</v>
      </c>
      <c r="C299" s="5">
        <v>635807</v>
      </c>
      <c r="D299" s="5" t="s">
        <v>448</v>
      </c>
      <c r="E299" s="37" t="s">
        <v>454</v>
      </c>
      <c r="F299" s="48" t="s">
        <v>692</v>
      </c>
      <c r="G299" s="48" t="s">
        <v>692</v>
      </c>
      <c r="H299" s="48" t="s">
        <v>692</v>
      </c>
      <c r="I299" s="48" t="s">
        <v>692</v>
      </c>
      <c r="J299" s="53">
        <v>261802.35</v>
      </c>
      <c r="K299" s="56">
        <v>0</v>
      </c>
      <c r="L299" s="56">
        <v>261802.35</v>
      </c>
      <c r="M299" s="54">
        <v>222531.9975</v>
      </c>
      <c r="N299" s="54">
        <v>39270.352500000008</v>
      </c>
      <c r="O299" s="52">
        <v>0</v>
      </c>
      <c r="P299" s="4">
        <f t="shared" si="8"/>
        <v>1</v>
      </c>
      <c r="Q299" s="71"/>
      <c r="R299" s="71"/>
      <c r="S299" s="3">
        <f t="shared" ref="S299:S362" si="9">R299*0.85</f>
        <v>0</v>
      </c>
    </row>
    <row r="300" spans="1:19" x14ac:dyDescent="0.3">
      <c r="A300" s="5" t="s">
        <v>7</v>
      </c>
      <c r="B300" s="5" t="s">
        <v>451</v>
      </c>
      <c r="C300" s="5">
        <v>635807</v>
      </c>
      <c r="D300" s="5" t="s">
        <v>448</v>
      </c>
      <c r="E300" s="37" t="s">
        <v>455</v>
      </c>
      <c r="F300" s="48" t="s">
        <v>692</v>
      </c>
      <c r="G300" s="48" t="s">
        <v>692</v>
      </c>
      <c r="H300" s="48" t="s">
        <v>692</v>
      </c>
      <c r="I300" s="48" t="s">
        <v>692</v>
      </c>
      <c r="J300" s="53">
        <v>228000</v>
      </c>
      <c r="K300" s="56">
        <v>0</v>
      </c>
      <c r="L300" s="56">
        <v>228000</v>
      </c>
      <c r="M300" s="54">
        <v>193800</v>
      </c>
      <c r="N300" s="54">
        <v>34200</v>
      </c>
      <c r="O300" s="52">
        <v>0</v>
      </c>
      <c r="P300" s="4">
        <f t="shared" si="8"/>
        <v>1</v>
      </c>
      <c r="Q300" s="71"/>
      <c r="R300" s="71"/>
      <c r="S300" s="3">
        <f t="shared" si="9"/>
        <v>0</v>
      </c>
    </row>
    <row r="301" spans="1:19" x14ac:dyDescent="0.3">
      <c r="A301" s="5" t="s">
        <v>421</v>
      </c>
      <c r="B301" s="5" t="s">
        <v>451</v>
      </c>
      <c r="C301" s="5">
        <v>1529987</v>
      </c>
      <c r="D301" s="5" t="s">
        <v>456</v>
      </c>
      <c r="E301" s="37" t="s">
        <v>457</v>
      </c>
      <c r="F301" s="48" t="s">
        <v>692</v>
      </c>
      <c r="G301" s="48" t="s">
        <v>692</v>
      </c>
      <c r="H301" s="48" t="s">
        <v>692</v>
      </c>
      <c r="I301" s="48" t="s">
        <v>692</v>
      </c>
      <c r="J301" s="53">
        <v>479083.37</v>
      </c>
      <c r="K301" s="56">
        <v>0</v>
      </c>
      <c r="L301" s="56">
        <v>479083.37</v>
      </c>
      <c r="M301" s="54">
        <v>407220.86449999997</v>
      </c>
      <c r="N301" s="54">
        <v>71862.505500000028</v>
      </c>
      <c r="O301" s="52">
        <v>0</v>
      </c>
      <c r="P301" s="4">
        <f t="shared" si="8"/>
        <v>1</v>
      </c>
      <c r="Q301" s="71"/>
      <c r="R301" s="71"/>
      <c r="S301" s="3">
        <f t="shared" si="9"/>
        <v>0</v>
      </c>
    </row>
    <row r="302" spans="1:19" x14ac:dyDescent="0.3">
      <c r="A302" s="5" t="s">
        <v>421</v>
      </c>
      <c r="B302" s="5" t="s">
        <v>451</v>
      </c>
      <c r="C302" s="5">
        <v>1529987</v>
      </c>
      <c r="D302" s="5" t="s">
        <v>456</v>
      </c>
      <c r="E302" s="37" t="s">
        <v>458</v>
      </c>
      <c r="F302" s="48" t="s">
        <v>692</v>
      </c>
      <c r="G302" s="48" t="s">
        <v>692</v>
      </c>
      <c r="H302" s="48" t="s">
        <v>692</v>
      </c>
      <c r="I302" s="48" t="s">
        <v>692</v>
      </c>
      <c r="J302" s="53">
        <v>164820</v>
      </c>
      <c r="K302" s="56">
        <v>0</v>
      </c>
      <c r="L302" s="56">
        <v>164820</v>
      </c>
      <c r="M302" s="54">
        <v>140097</v>
      </c>
      <c r="N302" s="54">
        <v>24723</v>
      </c>
      <c r="O302" s="52">
        <v>0</v>
      </c>
      <c r="P302" s="4">
        <f t="shared" si="8"/>
        <v>1</v>
      </c>
      <c r="Q302" s="71"/>
      <c r="R302" s="71"/>
      <c r="S302" s="3">
        <f t="shared" si="9"/>
        <v>0</v>
      </c>
    </row>
    <row r="303" spans="1:19" x14ac:dyDescent="0.3">
      <c r="A303" s="5" t="s">
        <v>421</v>
      </c>
      <c r="B303" s="5" t="s">
        <v>451</v>
      </c>
      <c r="C303" s="5">
        <v>1529987</v>
      </c>
      <c r="D303" s="5" t="s">
        <v>456</v>
      </c>
      <c r="E303" s="37" t="s">
        <v>459</v>
      </c>
      <c r="F303" s="48" t="s">
        <v>692</v>
      </c>
      <c r="G303" s="48">
        <v>13137</v>
      </c>
      <c r="H303" s="48">
        <v>2104665</v>
      </c>
      <c r="I303" s="48">
        <v>964163</v>
      </c>
      <c r="J303" s="53">
        <v>173143.94</v>
      </c>
      <c r="K303" s="56">
        <v>27427.521822229406</v>
      </c>
      <c r="L303" s="56">
        <v>145716.4181777706</v>
      </c>
      <c r="M303" s="54">
        <v>145716.4181777706</v>
      </c>
      <c r="N303" s="55">
        <v>0</v>
      </c>
      <c r="O303" s="52">
        <v>0</v>
      </c>
      <c r="P303" s="4">
        <f t="shared" si="8"/>
        <v>0.84159121120710656</v>
      </c>
      <c r="Q303" s="71"/>
      <c r="R303" s="71"/>
      <c r="S303" s="3">
        <f t="shared" si="9"/>
        <v>0</v>
      </c>
    </row>
    <row r="304" spans="1:19" x14ac:dyDescent="0.3">
      <c r="A304" s="5" t="s">
        <v>421</v>
      </c>
      <c r="B304" s="5" t="s">
        <v>451</v>
      </c>
      <c r="C304" s="5">
        <v>1529987</v>
      </c>
      <c r="D304" s="5" t="s">
        <v>456</v>
      </c>
      <c r="E304" s="37" t="s">
        <v>460</v>
      </c>
      <c r="F304" s="48" t="s">
        <v>692</v>
      </c>
      <c r="G304" s="48" t="s">
        <v>692</v>
      </c>
      <c r="H304" s="48" t="s">
        <v>692</v>
      </c>
      <c r="I304" s="48" t="s">
        <v>692</v>
      </c>
      <c r="J304" s="53">
        <v>135375</v>
      </c>
      <c r="K304" s="56">
        <v>0</v>
      </c>
      <c r="L304" s="56">
        <v>135375</v>
      </c>
      <c r="M304" s="54">
        <v>115068.75</v>
      </c>
      <c r="N304" s="54">
        <v>20306.25</v>
      </c>
      <c r="O304" s="52">
        <v>0</v>
      </c>
      <c r="P304" s="4">
        <f t="shared" si="8"/>
        <v>1</v>
      </c>
      <c r="Q304" s="71"/>
      <c r="R304" s="71"/>
      <c r="S304" s="3">
        <f t="shared" si="9"/>
        <v>0</v>
      </c>
    </row>
    <row r="305" spans="1:19" x14ac:dyDescent="0.3">
      <c r="A305" s="5" t="s">
        <v>421</v>
      </c>
      <c r="B305" s="5" t="s">
        <v>451</v>
      </c>
      <c r="C305" s="5">
        <v>1529987</v>
      </c>
      <c r="D305" s="5" t="s">
        <v>456</v>
      </c>
      <c r="E305" s="37" t="s">
        <v>461</v>
      </c>
      <c r="F305" s="48" t="s">
        <v>692</v>
      </c>
      <c r="G305" s="48" t="s">
        <v>692</v>
      </c>
      <c r="H305" s="48" t="s">
        <v>692</v>
      </c>
      <c r="I305" s="48" t="s">
        <v>692</v>
      </c>
      <c r="J305" s="53">
        <v>135051.4</v>
      </c>
      <c r="K305" s="56">
        <v>0</v>
      </c>
      <c r="L305" s="56">
        <v>135051.4</v>
      </c>
      <c r="M305" s="54">
        <v>114793.68999999999</v>
      </c>
      <c r="N305" s="54">
        <v>20257.710000000006</v>
      </c>
      <c r="O305" s="52">
        <v>0</v>
      </c>
      <c r="P305" s="4">
        <f t="shared" si="8"/>
        <v>1</v>
      </c>
      <c r="Q305" s="71"/>
      <c r="R305" s="71"/>
      <c r="S305" s="3">
        <f t="shared" si="9"/>
        <v>0</v>
      </c>
    </row>
    <row r="306" spans="1:19" ht="29.55" x14ac:dyDescent="0.3">
      <c r="A306" s="5" t="s">
        <v>421</v>
      </c>
      <c r="B306" s="5" t="s">
        <v>451</v>
      </c>
      <c r="C306" s="5">
        <v>1529987</v>
      </c>
      <c r="D306" s="5" t="s">
        <v>456</v>
      </c>
      <c r="E306" s="37" t="s">
        <v>462</v>
      </c>
      <c r="F306" s="48" t="s">
        <v>692</v>
      </c>
      <c r="G306" s="48" t="s">
        <v>692</v>
      </c>
      <c r="H306" s="48" t="s">
        <v>692</v>
      </c>
      <c r="I306" s="48" t="s">
        <v>692</v>
      </c>
      <c r="J306" s="53">
        <v>61805.39</v>
      </c>
      <c r="K306" s="56">
        <v>0</v>
      </c>
      <c r="L306" s="56">
        <v>61805.39</v>
      </c>
      <c r="M306" s="54">
        <v>52534.5815</v>
      </c>
      <c r="N306" s="54">
        <v>9270.8084999999992</v>
      </c>
      <c r="O306" s="52">
        <v>0</v>
      </c>
      <c r="P306" s="4">
        <f t="shared" si="8"/>
        <v>1</v>
      </c>
      <c r="Q306" s="71"/>
      <c r="R306" s="71"/>
      <c r="S306" s="3">
        <f t="shared" si="9"/>
        <v>0</v>
      </c>
    </row>
    <row r="307" spans="1:19" x14ac:dyDescent="0.3">
      <c r="A307" s="5" t="s">
        <v>421</v>
      </c>
      <c r="B307" s="5" t="s">
        <v>451</v>
      </c>
      <c r="C307" s="5">
        <v>1570965</v>
      </c>
      <c r="D307" s="5" t="s">
        <v>463</v>
      </c>
      <c r="E307" s="37" t="s">
        <v>464</v>
      </c>
      <c r="F307" s="5" t="s">
        <v>692</v>
      </c>
      <c r="G307" s="5" t="s">
        <v>692</v>
      </c>
      <c r="H307" s="5" t="s">
        <v>692</v>
      </c>
      <c r="I307" s="5" t="s">
        <v>692</v>
      </c>
      <c r="J307" s="53">
        <v>1000000</v>
      </c>
      <c r="K307" s="56">
        <v>0</v>
      </c>
      <c r="L307" s="56">
        <v>1000000</v>
      </c>
      <c r="M307" s="54">
        <v>850000</v>
      </c>
      <c r="N307" s="54">
        <v>150000</v>
      </c>
      <c r="O307" s="52">
        <v>0</v>
      </c>
      <c r="P307" s="4">
        <f t="shared" si="8"/>
        <v>1</v>
      </c>
      <c r="Q307" s="71"/>
      <c r="R307" s="71"/>
      <c r="S307" s="3">
        <f t="shared" si="9"/>
        <v>0</v>
      </c>
    </row>
    <row r="308" spans="1:19" x14ac:dyDescent="0.3">
      <c r="A308" s="5" t="s">
        <v>7</v>
      </c>
      <c r="B308" s="5" t="s">
        <v>474</v>
      </c>
      <c r="C308" s="5">
        <v>499236</v>
      </c>
      <c r="D308" s="5" t="s">
        <v>475</v>
      </c>
      <c r="E308" s="34" t="s">
        <v>476</v>
      </c>
      <c r="F308" s="5" t="s">
        <v>692</v>
      </c>
      <c r="G308" s="5" t="s">
        <v>692</v>
      </c>
      <c r="H308" s="5" t="s">
        <v>692</v>
      </c>
      <c r="I308" s="5" t="s">
        <v>692</v>
      </c>
      <c r="J308" s="53">
        <v>23634.45</v>
      </c>
      <c r="K308" s="53">
        <v>0</v>
      </c>
      <c r="L308" s="53">
        <v>23634.45</v>
      </c>
      <c r="M308" s="54">
        <v>20089.282500000001</v>
      </c>
      <c r="N308" s="54">
        <v>3545.1674999999996</v>
      </c>
      <c r="O308" s="52">
        <v>0</v>
      </c>
      <c r="P308" s="4">
        <f t="shared" si="8"/>
        <v>1</v>
      </c>
      <c r="Q308" s="71"/>
      <c r="R308" s="71"/>
      <c r="S308" s="3">
        <f t="shared" si="9"/>
        <v>0</v>
      </c>
    </row>
    <row r="309" spans="1:19" x14ac:dyDescent="0.3">
      <c r="A309" s="5" t="s">
        <v>7</v>
      </c>
      <c r="B309" s="5" t="s">
        <v>474</v>
      </c>
      <c r="C309" s="5">
        <v>499236</v>
      </c>
      <c r="D309" s="5" t="s">
        <v>475</v>
      </c>
      <c r="E309" s="34" t="s">
        <v>477</v>
      </c>
      <c r="F309" s="5" t="s">
        <v>692</v>
      </c>
      <c r="G309" s="5" t="s">
        <v>692</v>
      </c>
      <c r="H309" s="5" t="s">
        <v>692</v>
      </c>
      <c r="I309" s="5" t="s">
        <v>692</v>
      </c>
      <c r="J309" s="53">
        <v>226512.13</v>
      </c>
      <c r="K309" s="53">
        <v>33977.100000000006</v>
      </c>
      <c r="L309" s="53">
        <v>192535.03</v>
      </c>
      <c r="M309" s="54">
        <v>192535.03</v>
      </c>
      <c r="N309" s="55">
        <v>0</v>
      </c>
      <c r="O309" s="52">
        <v>0</v>
      </c>
      <c r="P309" s="4">
        <f t="shared" si="8"/>
        <v>0.8499987616557223</v>
      </c>
      <c r="Q309" s="71"/>
      <c r="R309" s="71"/>
      <c r="S309" s="3">
        <f t="shared" si="9"/>
        <v>0</v>
      </c>
    </row>
    <row r="310" spans="1:19" x14ac:dyDescent="0.3">
      <c r="A310" s="5" t="s">
        <v>7</v>
      </c>
      <c r="B310" s="5" t="s">
        <v>474</v>
      </c>
      <c r="C310" s="5">
        <v>499236</v>
      </c>
      <c r="D310" s="5" t="s">
        <v>475</v>
      </c>
      <c r="E310" s="34" t="s">
        <v>478</v>
      </c>
      <c r="F310" s="5" t="s">
        <v>692</v>
      </c>
      <c r="G310" s="5" t="s">
        <v>692</v>
      </c>
      <c r="H310" s="5" t="s">
        <v>692</v>
      </c>
      <c r="I310" s="5" t="s">
        <v>692</v>
      </c>
      <c r="J310" s="53">
        <v>185323.7</v>
      </c>
      <c r="K310" s="53">
        <v>27798.600000000006</v>
      </c>
      <c r="L310" s="53">
        <v>157525.1</v>
      </c>
      <c r="M310" s="54">
        <v>157525.1</v>
      </c>
      <c r="N310" s="55">
        <v>0</v>
      </c>
      <c r="O310" s="52">
        <v>0</v>
      </c>
      <c r="P310" s="4">
        <f t="shared" si="8"/>
        <v>0.84999975718162324</v>
      </c>
      <c r="Q310" s="71"/>
      <c r="R310" s="71"/>
      <c r="S310" s="3">
        <f t="shared" si="9"/>
        <v>0</v>
      </c>
    </row>
    <row r="311" spans="1:19" x14ac:dyDescent="0.3">
      <c r="A311" s="5" t="s">
        <v>7</v>
      </c>
      <c r="B311" s="5" t="s">
        <v>474</v>
      </c>
      <c r="C311" s="5">
        <v>499236</v>
      </c>
      <c r="D311" s="5" t="s">
        <v>475</v>
      </c>
      <c r="E311" s="34" t="s">
        <v>479</v>
      </c>
      <c r="F311" s="5" t="s">
        <v>692</v>
      </c>
      <c r="G311" s="5" t="s">
        <v>692</v>
      </c>
      <c r="H311" s="5" t="s">
        <v>692</v>
      </c>
      <c r="I311" s="5" t="s">
        <v>692</v>
      </c>
      <c r="J311" s="53">
        <v>227254.39</v>
      </c>
      <c r="K311" s="53">
        <v>34088.160000000003</v>
      </c>
      <c r="L311" s="53">
        <v>193166.23</v>
      </c>
      <c r="M311" s="54">
        <v>193166.23</v>
      </c>
      <c r="N311" s="55">
        <v>0</v>
      </c>
      <c r="O311" s="52">
        <v>0</v>
      </c>
      <c r="P311" s="4">
        <f t="shared" si="8"/>
        <v>0.84999999339946741</v>
      </c>
      <c r="Q311" s="71"/>
      <c r="R311" s="71"/>
      <c r="S311" s="3">
        <f t="shared" si="9"/>
        <v>0</v>
      </c>
    </row>
    <row r="312" spans="1:19" x14ac:dyDescent="0.3">
      <c r="A312" s="5" t="s">
        <v>7</v>
      </c>
      <c r="B312" s="5" t="s">
        <v>474</v>
      </c>
      <c r="C312" s="5">
        <v>499236</v>
      </c>
      <c r="D312" s="5" t="s">
        <v>475</v>
      </c>
      <c r="E312" s="34" t="s">
        <v>480</v>
      </c>
      <c r="F312" s="5" t="s">
        <v>692</v>
      </c>
      <c r="G312" s="5" t="s">
        <v>692</v>
      </c>
      <c r="H312" s="5" t="s">
        <v>692</v>
      </c>
      <c r="I312" s="5" t="s">
        <v>692</v>
      </c>
      <c r="J312" s="53">
        <v>32716.39</v>
      </c>
      <c r="K312" s="53">
        <v>4907.4799999999996</v>
      </c>
      <c r="L312" s="53">
        <v>27808.91</v>
      </c>
      <c r="M312" s="54">
        <v>27808.91</v>
      </c>
      <c r="N312" s="55">
        <v>0</v>
      </c>
      <c r="O312" s="52">
        <v>0</v>
      </c>
      <c r="P312" s="4">
        <f t="shared" si="8"/>
        <v>0.8499993428370306</v>
      </c>
      <c r="Q312" s="71"/>
      <c r="R312" s="71"/>
      <c r="S312" s="3">
        <f t="shared" si="9"/>
        <v>0</v>
      </c>
    </row>
    <row r="313" spans="1:19" x14ac:dyDescent="0.3">
      <c r="A313" s="5" t="s">
        <v>7</v>
      </c>
      <c r="B313" s="5" t="s">
        <v>474</v>
      </c>
      <c r="C313" s="5">
        <v>499236</v>
      </c>
      <c r="D313" s="5" t="s">
        <v>475</v>
      </c>
      <c r="E313" s="34" t="s">
        <v>367</v>
      </c>
      <c r="F313" s="5" t="s">
        <v>692</v>
      </c>
      <c r="G313" s="5" t="s">
        <v>692</v>
      </c>
      <c r="H313" s="5" t="s">
        <v>692</v>
      </c>
      <c r="I313" s="5" t="s">
        <v>692</v>
      </c>
      <c r="J313" s="53">
        <v>97180.96</v>
      </c>
      <c r="K313" s="53">
        <v>0</v>
      </c>
      <c r="L313" s="53">
        <v>97180.96</v>
      </c>
      <c r="M313" s="54">
        <v>82603.816000000006</v>
      </c>
      <c r="N313" s="54">
        <v>14577.144</v>
      </c>
      <c r="O313" s="52">
        <v>0</v>
      </c>
      <c r="P313" s="4">
        <f t="shared" si="8"/>
        <v>1</v>
      </c>
      <c r="Q313" s="71"/>
      <c r="R313" s="71"/>
      <c r="S313" s="3">
        <f t="shared" si="9"/>
        <v>0</v>
      </c>
    </row>
    <row r="314" spans="1:19" x14ac:dyDescent="0.3">
      <c r="A314" s="5" t="s">
        <v>7</v>
      </c>
      <c r="B314" s="5" t="s">
        <v>474</v>
      </c>
      <c r="C314" s="5">
        <v>499236</v>
      </c>
      <c r="D314" s="5" t="s">
        <v>475</v>
      </c>
      <c r="E314" s="34" t="s">
        <v>481</v>
      </c>
      <c r="F314" s="5" t="s">
        <v>692</v>
      </c>
      <c r="G314" s="5" t="s">
        <v>692</v>
      </c>
      <c r="H314" s="5" t="s">
        <v>692</v>
      </c>
      <c r="I314" s="5" t="s">
        <v>692</v>
      </c>
      <c r="J314" s="53">
        <v>130979.61</v>
      </c>
      <c r="K314" s="53">
        <v>0</v>
      </c>
      <c r="L314" s="53">
        <v>130979.61</v>
      </c>
      <c r="M314" s="54">
        <v>111332.6685</v>
      </c>
      <c r="N314" s="54">
        <v>19646.941500000001</v>
      </c>
      <c r="O314" s="52">
        <v>0</v>
      </c>
      <c r="P314" s="4">
        <f t="shared" si="8"/>
        <v>1</v>
      </c>
      <c r="Q314" s="71"/>
      <c r="R314" s="71"/>
      <c r="S314" s="3">
        <f t="shared" si="9"/>
        <v>0</v>
      </c>
    </row>
    <row r="315" spans="1:19" x14ac:dyDescent="0.3">
      <c r="A315" s="5" t="s">
        <v>7</v>
      </c>
      <c r="B315" s="5" t="s">
        <v>474</v>
      </c>
      <c r="C315" s="5">
        <v>572703</v>
      </c>
      <c r="D315" s="5" t="s">
        <v>482</v>
      </c>
      <c r="E315" s="34" t="s">
        <v>483</v>
      </c>
      <c r="F315" s="5" t="s">
        <v>692</v>
      </c>
      <c r="G315" s="5" t="s">
        <v>692</v>
      </c>
      <c r="H315" s="5" t="s">
        <v>692</v>
      </c>
      <c r="I315" s="5" t="s">
        <v>692</v>
      </c>
      <c r="J315" s="53">
        <v>224073.95</v>
      </c>
      <c r="K315" s="53">
        <v>0</v>
      </c>
      <c r="L315" s="53">
        <v>224073.95</v>
      </c>
      <c r="M315" s="54">
        <v>190462.85750000001</v>
      </c>
      <c r="N315" s="54">
        <v>33611.092499999999</v>
      </c>
      <c r="O315" s="52">
        <v>0</v>
      </c>
      <c r="P315" s="4">
        <f t="shared" si="8"/>
        <v>1</v>
      </c>
      <c r="Q315" s="71"/>
      <c r="R315" s="71"/>
      <c r="S315" s="3">
        <f t="shared" si="9"/>
        <v>0</v>
      </c>
    </row>
    <row r="316" spans="1:19" x14ac:dyDescent="0.3">
      <c r="A316" s="5" t="s">
        <v>7</v>
      </c>
      <c r="B316" s="5" t="s">
        <v>474</v>
      </c>
      <c r="C316" s="5">
        <v>572703</v>
      </c>
      <c r="D316" s="5" t="s">
        <v>482</v>
      </c>
      <c r="E316" s="34" t="s">
        <v>484</v>
      </c>
      <c r="F316" s="5" t="s">
        <v>692</v>
      </c>
      <c r="G316" s="5" t="s">
        <v>692</v>
      </c>
      <c r="H316" s="5" t="s">
        <v>692</v>
      </c>
      <c r="I316" s="5" t="s">
        <v>692</v>
      </c>
      <c r="J316" s="53">
        <v>198864.2</v>
      </c>
      <c r="K316" s="53">
        <v>29829.630000000005</v>
      </c>
      <c r="L316" s="53">
        <v>169034.57</v>
      </c>
      <c r="M316" s="54">
        <v>169034.57</v>
      </c>
      <c r="N316" s="55">
        <v>0</v>
      </c>
      <c r="O316" s="52">
        <v>0</v>
      </c>
      <c r="P316" s="4">
        <f t="shared" si="8"/>
        <v>0.85</v>
      </c>
      <c r="Q316" s="71"/>
      <c r="R316" s="71"/>
      <c r="S316" s="3">
        <f t="shared" si="9"/>
        <v>0</v>
      </c>
    </row>
    <row r="317" spans="1:19" ht="29.55" x14ac:dyDescent="0.3">
      <c r="A317" s="5" t="s">
        <v>7</v>
      </c>
      <c r="B317" s="5" t="s">
        <v>474</v>
      </c>
      <c r="C317" s="5">
        <v>572703</v>
      </c>
      <c r="D317" s="5" t="s">
        <v>482</v>
      </c>
      <c r="E317" s="34" t="s">
        <v>485</v>
      </c>
      <c r="F317" s="48" t="s">
        <v>692</v>
      </c>
      <c r="G317" s="48" t="s">
        <v>692</v>
      </c>
      <c r="H317" s="48" t="s">
        <v>692</v>
      </c>
      <c r="I317" s="48" t="s">
        <v>692</v>
      </c>
      <c r="J317" s="53">
        <v>119412</v>
      </c>
      <c r="K317" s="53">
        <v>17911.800000000003</v>
      </c>
      <c r="L317" s="53">
        <v>101500.2</v>
      </c>
      <c r="M317" s="54">
        <v>101500.2</v>
      </c>
      <c r="N317" s="55">
        <v>0</v>
      </c>
      <c r="O317" s="52">
        <v>0</v>
      </c>
      <c r="P317" s="4">
        <f t="shared" si="8"/>
        <v>0.85</v>
      </c>
      <c r="Q317" s="71"/>
      <c r="R317" s="71"/>
      <c r="S317" s="3">
        <f t="shared" si="9"/>
        <v>0</v>
      </c>
    </row>
    <row r="318" spans="1:19" x14ac:dyDescent="0.3">
      <c r="A318" s="5" t="s">
        <v>7</v>
      </c>
      <c r="B318" s="5" t="s">
        <v>474</v>
      </c>
      <c r="C318" s="5">
        <v>572703</v>
      </c>
      <c r="D318" s="5" t="s">
        <v>482</v>
      </c>
      <c r="E318" s="37" t="s">
        <v>486</v>
      </c>
      <c r="F318" s="48" t="s">
        <v>692</v>
      </c>
      <c r="G318" s="48" t="s">
        <v>692</v>
      </c>
      <c r="H318" s="48" t="s">
        <v>692</v>
      </c>
      <c r="I318" s="48" t="s">
        <v>692</v>
      </c>
      <c r="J318" s="53">
        <v>1060</v>
      </c>
      <c r="K318" s="53">
        <v>159</v>
      </c>
      <c r="L318" s="53">
        <v>901</v>
      </c>
      <c r="M318" s="55">
        <v>901</v>
      </c>
      <c r="N318" s="55">
        <v>0</v>
      </c>
      <c r="O318" s="52">
        <v>0</v>
      </c>
      <c r="P318" s="4">
        <f t="shared" si="8"/>
        <v>0.85</v>
      </c>
      <c r="Q318" s="71"/>
      <c r="R318" s="71"/>
      <c r="S318" s="3">
        <f t="shared" si="9"/>
        <v>0</v>
      </c>
    </row>
    <row r="319" spans="1:19" x14ac:dyDescent="0.3">
      <c r="A319" s="5" t="s">
        <v>7</v>
      </c>
      <c r="B319" s="5" t="s">
        <v>474</v>
      </c>
      <c r="C319" s="5">
        <v>572703</v>
      </c>
      <c r="D319" s="5" t="s">
        <v>482</v>
      </c>
      <c r="E319" s="37" t="s">
        <v>487</v>
      </c>
      <c r="F319" s="5" t="s">
        <v>692</v>
      </c>
      <c r="G319" s="5" t="s">
        <v>692</v>
      </c>
      <c r="H319" s="5" t="s">
        <v>692</v>
      </c>
      <c r="I319" s="5" t="s">
        <v>692</v>
      </c>
      <c r="J319" s="53">
        <v>100851.56999999999</v>
      </c>
      <c r="K319" s="53">
        <v>0</v>
      </c>
      <c r="L319" s="53">
        <v>100851.56999999999</v>
      </c>
      <c r="M319" s="55">
        <v>85723.834499999997</v>
      </c>
      <c r="N319" s="55">
        <v>15127.735499999995</v>
      </c>
      <c r="O319" s="52">
        <v>0</v>
      </c>
      <c r="P319" s="4">
        <f t="shared" si="8"/>
        <v>1</v>
      </c>
      <c r="Q319" s="71"/>
      <c r="R319" s="71"/>
      <c r="S319" s="3">
        <f t="shared" si="9"/>
        <v>0</v>
      </c>
    </row>
    <row r="320" spans="1:19" x14ac:dyDescent="0.3">
      <c r="A320" s="5" t="s">
        <v>7</v>
      </c>
      <c r="B320" s="5" t="s">
        <v>474</v>
      </c>
      <c r="C320" s="5">
        <v>591611</v>
      </c>
      <c r="D320" s="5" t="s">
        <v>488</v>
      </c>
      <c r="E320" s="34" t="s">
        <v>489</v>
      </c>
      <c r="F320" s="5" t="s">
        <v>692</v>
      </c>
      <c r="G320" s="5" t="s">
        <v>692</v>
      </c>
      <c r="H320" s="5" t="s">
        <v>692</v>
      </c>
      <c r="I320" s="5" t="s">
        <v>692</v>
      </c>
      <c r="J320" s="53">
        <v>610960.80000000005</v>
      </c>
      <c r="K320" s="53">
        <v>0</v>
      </c>
      <c r="L320" s="53">
        <v>610960.80000000005</v>
      </c>
      <c r="M320" s="54">
        <f>L320*0.85</f>
        <v>519316.68000000005</v>
      </c>
      <c r="N320" s="54">
        <f>L320-M320</f>
        <v>91644.12</v>
      </c>
      <c r="O320" s="52">
        <v>0</v>
      </c>
      <c r="P320" s="4">
        <f t="shared" si="8"/>
        <v>1</v>
      </c>
      <c r="Q320" s="71"/>
      <c r="R320" s="71"/>
      <c r="S320" s="3">
        <f t="shared" si="9"/>
        <v>0</v>
      </c>
    </row>
    <row r="321" spans="1:19" x14ac:dyDescent="0.3">
      <c r="A321" s="5" t="s">
        <v>7</v>
      </c>
      <c r="B321" s="5" t="s">
        <v>474</v>
      </c>
      <c r="C321" s="5">
        <v>591611</v>
      </c>
      <c r="D321" s="5" t="s">
        <v>488</v>
      </c>
      <c r="E321" s="34" t="s">
        <v>490</v>
      </c>
      <c r="F321" s="5" t="s">
        <v>692</v>
      </c>
      <c r="G321" s="5" t="s">
        <v>692</v>
      </c>
      <c r="H321" s="5" t="s">
        <v>692</v>
      </c>
      <c r="I321" s="5" t="s">
        <v>692</v>
      </c>
      <c r="J321" s="53">
        <v>84000</v>
      </c>
      <c r="K321" s="53">
        <v>12600</v>
      </c>
      <c r="L321" s="53">
        <v>71400</v>
      </c>
      <c r="M321" s="54">
        <f>L321</f>
        <v>71400</v>
      </c>
      <c r="N321" s="55">
        <f>L321-M321</f>
        <v>0</v>
      </c>
      <c r="O321" s="52">
        <v>0</v>
      </c>
      <c r="P321" s="4">
        <f t="shared" si="8"/>
        <v>0.85</v>
      </c>
      <c r="Q321" s="71"/>
      <c r="R321" s="71"/>
      <c r="S321" s="3">
        <f t="shared" si="9"/>
        <v>0</v>
      </c>
    </row>
    <row r="322" spans="1:19" ht="29.55" x14ac:dyDescent="0.3">
      <c r="A322" s="5" t="s">
        <v>7</v>
      </c>
      <c r="B322" s="5" t="s">
        <v>474</v>
      </c>
      <c r="C322" s="5">
        <v>591611</v>
      </c>
      <c r="D322" s="5" t="s">
        <v>488</v>
      </c>
      <c r="E322" s="34" t="s">
        <v>491</v>
      </c>
      <c r="F322" s="5" t="s">
        <v>692</v>
      </c>
      <c r="G322" s="5" t="s">
        <v>692</v>
      </c>
      <c r="H322" s="5" t="s">
        <v>692</v>
      </c>
      <c r="I322" s="5" t="s">
        <v>692</v>
      </c>
      <c r="J322" s="53">
        <v>99999</v>
      </c>
      <c r="K322" s="53">
        <v>15000</v>
      </c>
      <c r="L322" s="53">
        <f>J322-K322</f>
        <v>84999</v>
      </c>
      <c r="M322" s="54">
        <f>L322</f>
        <v>84999</v>
      </c>
      <c r="N322" s="55">
        <v>0</v>
      </c>
      <c r="O322" s="52">
        <v>0</v>
      </c>
      <c r="P322" s="4">
        <f t="shared" si="8"/>
        <v>0.84999849998499988</v>
      </c>
      <c r="Q322" s="71"/>
      <c r="R322" s="71"/>
      <c r="S322" s="3">
        <f t="shared" si="9"/>
        <v>0</v>
      </c>
    </row>
    <row r="323" spans="1:19" x14ac:dyDescent="0.3">
      <c r="A323" s="5" t="s">
        <v>7</v>
      </c>
      <c r="B323" s="5" t="s">
        <v>474</v>
      </c>
      <c r="C323" s="5">
        <v>591611</v>
      </c>
      <c r="D323" s="5" t="s">
        <v>488</v>
      </c>
      <c r="E323" s="34" t="s">
        <v>492</v>
      </c>
      <c r="F323" s="48" t="s">
        <v>692</v>
      </c>
      <c r="G323" s="48" t="s">
        <v>692</v>
      </c>
      <c r="H323" s="48" t="s">
        <v>692</v>
      </c>
      <c r="I323" s="48" t="s">
        <v>692</v>
      </c>
      <c r="J323" s="53">
        <v>165625</v>
      </c>
      <c r="K323" s="53">
        <v>0</v>
      </c>
      <c r="L323" s="53">
        <v>165625</v>
      </c>
      <c r="M323" s="54">
        <f>L323*0.85</f>
        <v>140781.25</v>
      </c>
      <c r="N323" s="54">
        <f>L323-M323</f>
        <v>24843.75</v>
      </c>
      <c r="O323" s="52">
        <v>0</v>
      </c>
      <c r="P323" s="4">
        <f t="shared" ref="P323:P386" si="10">L323/J323</f>
        <v>1</v>
      </c>
      <c r="Q323" s="71"/>
      <c r="R323" s="71"/>
      <c r="S323" s="3">
        <f t="shared" si="9"/>
        <v>0</v>
      </c>
    </row>
    <row r="324" spans="1:19" ht="29.55" x14ac:dyDescent="0.3">
      <c r="A324" s="5" t="s">
        <v>7</v>
      </c>
      <c r="B324" s="5" t="s">
        <v>474</v>
      </c>
      <c r="C324" s="5">
        <v>490188</v>
      </c>
      <c r="D324" s="5" t="s">
        <v>493</v>
      </c>
      <c r="E324" s="37" t="s">
        <v>494</v>
      </c>
      <c r="F324" s="48" t="s">
        <v>692</v>
      </c>
      <c r="G324" s="48" t="s">
        <v>692</v>
      </c>
      <c r="H324" s="48" t="s">
        <v>692</v>
      </c>
      <c r="I324" s="48" t="s">
        <v>692</v>
      </c>
      <c r="J324" s="53">
        <v>409915</v>
      </c>
      <c r="K324" s="53">
        <v>61487.25</v>
      </c>
      <c r="L324" s="53">
        <v>348427.75</v>
      </c>
      <c r="M324" s="55">
        <v>348427.75</v>
      </c>
      <c r="N324" s="55">
        <v>0</v>
      </c>
      <c r="O324" s="52">
        <v>0</v>
      </c>
      <c r="P324" s="4">
        <f t="shared" si="10"/>
        <v>0.85</v>
      </c>
      <c r="Q324" s="71"/>
      <c r="R324" s="71"/>
      <c r="S324" s="3">
        <f t="shared" si="9"/>
        <v>0</v>
      </c>
    </row>
    <row r="325" spans="1:19" ht="29.55" x14ac:dyDescent="0.3">
      <c r="A325" s="5" t="s">
        <v>7</v>
      </c>
      <c r="B325" s="5" t="s">
        <v>474</v>
      </c>
      <c r="C325" s="5">
        <v>490188</v>
      </c>
      <c r="D325" s="5" t="s">
        <v>493</v>
      </c>
      <c r="E325" s="37" t="s">
        <v>495</v>
      </c>
      <c r="F325" s="5" t="s">
        <v>692</v>
      </c>
      <c r="G325" s="5" t="s">
        <v>692</v>
      </c>
      <c r="H325" s="5" t="s">
        <v>692</v>
      </c>
      <c r="I325" s="5" t="s">
        <v>692</v>
      </c>
      <c r="J325" s="53">
        <v>120000</v>
      </c>
      <c r="K325" s="53">
        <v>0</v>
      </c>
      <c r="L325" s="53">
        <v>120000</v>
      </c>
      <c r="M325" s="55">
        <v>102000</v>
      </c>
      <c r="N325" s="55">
        <v>18000</v>
      </c>
      <c r="O325" s="52">
        <v>0</v>
      </c>
      <c r="P325" s="4">
        <f t="shared" si="10"/>
        <v>1</v>
      </c>
      <c r="Q325" s="71"/>
      <c r="R325" s="71"/>
      <c r="S325" s="3">
        <f t="shared" si="9"/>
        <v>0</v>
      </c>
    </row>
    <row r="326" spans="1:19" ht="29.55" x14ac:dyDescent="0.3">
      <c r="A326" s="5" t="s">
        <v>7</v>
      </c>
      <c r="B326" s="5" t="s">
        <v>474</v>
      </c>
      <c r="C326" s="5">
        <v>490188</v>
      </c>
      <c r="D326" s="5" t="s">
        <v>493</v>
      </c>
      <c r="E326" s="34" t="s">
        <v>496</v>
      </c>
      <c r="F326" s="18" t="s">
        <v>692</v>
      </c>
      <c r="G326" s="18" t="s">
        <v>692</v>
      </c>
      <c r="H326" s="18" t="s">
        <v>692</v>
      </c>
      <c r="I326" s="18" t="s">
        <v>692</v>
      </c>
      <c r="J326" s="53">
        <v>105986.5</v>
      </c>
      <c r="K326" s="53">
        <v>15897.970000000001</v>
      </c>
      <c r="L326" s="53">
        <v>90088.53</v>
      </c>
      <c r="M326" s="54">
        <v>90088.53</v>
      </c>
      <c r="N326" s="55">
        <v>0</v>
      </c>
      <c r="O326" s="52">
        <v>0</v>
      </c>
      <c r="P326" s="4">
        <f t="shared" si="10"/>
        <v>0.85000004717581956</v>
      </c>
      <c r="Q326" s="71"/>
      <c r="R326" s="71"/>
      <c r="S326" s="3">
        <f t="shared" si="9"/>
        <v>0</v>
      </c>
    </row>
    <row r="327" spans="1:19" ht="29.55" x14ac:dyDescent="0.3">
      <c r="A327" s="5" t="s">
        <v>7</v>
      </c>
      <c r="B327" s="5" t="s">
        <v>474</v>
      </c>
      <c r="C327" s="10">
        <v>631714</v>
      </c>
      <c r="D327" s="5" t="s">
        <v>497</v>
      </c>
      <c r="E327" s="38" t="s">
        <v>672</v>
      </c>
      <c r="F327" s="48" t="s">
        <v>692</v>
      </c>
      <c r="G327" s="48" t="s">
        <v>692</v>
      </c>
      <c r="H327" s="48" t="s">
        <v>692</v>
      </c>
      <c r="I327" s="48" t="s">
        <v>692</v>
      </c>
      <c r="J327" s="53">
        <v>1070000</v>
      </c>
      <c r="K327" s="56">
        <v>0</v>
      </c>
      <c r="L327" s="56">
        <v>1070000</v>
      </c>
      <c r="M327" s="54">
        <v>909500</v>
      </c>
      <c r="N327" s="54">
        <v>160500</v>
      </c>
      <c r="O327" s="52">
        <v>0</v>
      </c>
      <c r="P327" s="4">
        <f t="shared" si="10"/>
        <v>1</v>
      </c>
      <c r="Q327" s="71"/>
      <c r="R327" s="71"/>
      <c r="S327" s="3">
        <f t="shared" si="9"/>
        <v>0</v>
      </c>
    </row>
    <row r="328" spans="1:19" x14ac:dyDescent="0.3">
      <c r="A328" s="5" t="s">
        <v>7</v>
      </c>
      <c r="B328" s="5" t="s">
        <v>474</v>
      </c>
      <c r="C328" s="10">
        <v>631714</v>
      </c>
      <c r="D328" s="5" t="s">
        <v>497</v>
      </c>
      <c r="E328" s="37" t="s">
        <v>498</v>
      </c>
      <c r="F328" s="5" t="s">
        <v>692</v>
      </c>
      <c r="G328" s="5" t="s">
        <v>692</v>
      </c>
      <c r="H328" s="5" t="s">
        <v>692</v>
      </c>
      <c r="I328" s="5" t="s">
        <v>692</v>
      </c>
      <c r="J328" s="53">
        <v>130000</v>
      </c>
      <c r="K328" s="56">
        <v>0</v>
      </c>
      <c r="L328" s="56">
        <v>130000</v>
      </c>
      <c r="M328" s="55">
        <v>110500</v>
      </c>
      <c r="N328" s="55">
        <v>19500</v>
      </c>
      <c r="O328" s="52">
        <v>0</v>
      </c>
      <c r="P328" s="4">
        <f t="shared" si="10"/>
        <v>1</v>
      </c>
      <c r="Q328" s="71"/>
      <c r="R328" s="71"/>
      <c r="S328" s="3">
        <f t="shared" si="9"/>
        <v>0</v>
      </c>
    </row>
    <row r="329" spans="1:19" x14ac:dyDescent="0.3">
      <c r="A329" s="5" t="s">
        <v>7</v>
      </c>
      <c r="B329" s="5" t="s">
        <v>474</v>
      </c>
      <c r="C329" s="5">
        <v>563663</v>
      </c>
      <c r="D329" s="5" t="s">
        <v>499</v>
      </c>
      <c r="E329" s="34" t="s">
        <v>500</v>
      </c>
      <c r="F329" s="5" t="s">
        <v>692</v>
      </c>
      <c r="G329" s="5" t="s">
        <v>692</v>
      </c>
      <c r="H329" s="5" t="s">
        <v>692</v>
      </c>
      <c r="I329" s="5" t="s">
        <v>692</v>
      </c>
      <c r="J329" s="53">
        <v>420793.06</v>
      </c>
      <c r="K329" s="56">
        <v>63118.96649999998</v>
      </c>
      <c r="L329" s="56">
        <v>357674.09350000002</v>
      </c>
      <c r="M329" s="55">
        <v>357674.09350000002</v>
      </c>
      <c r="N329" s="55">
        <v>0</v>
      </c>
      <c r="O329" s="52">
        <v>0</v>
      </c>
      <c r="P329" s="4">
        <f t="shared" si="10"/>
        <v>0.84999998217651218</v>
      </c>
      <c r="Q329" s="71"/>
      <c r="R329" s="71"/>
      <c r="S329" s="3">
        <f t="shared" si="9"/>
        <v>0</v>
      </c>
    </row>
    <row r="330" spans="1:19" x14ac:dyDescent="0.3">
      <c r="A330" s="5" t="s">
        <v>7</v>
      </c>
      <c r="B330" s="5" t="s">
        <v>474</v>
      </c>
      <c r="C330" s="5">
        <v>563663</v>
      </c>
      <c r="D330" s="5" t="s">
        <v>499</v>
      </c>
      <c r="E330" s="34" t="s">
        <v>501</v>
      </c>
      <c r="F330" s="5" t="s">
        <v>692</v>
      </c>
      <c r="G330" s="5" t="s">
        <v>692</v>
      </c>
      <c r="H330" s="5" t="s">
        <v>692</v>
      </c>
      <c r="I330" s="5" t="s">
        <v>692</v>
      </c>
      <c r="J330" s="53">
        <v>210348.00000000003</v>
      </c>
      <c r="K330" s="56">
        <v>31552.21000000005</v>
      </c>
      <c r="L330" s="56">
        <v>178795.78999999998</v>
      </c>
      <c r="M330" s="55">
        <v>178795.78999999998</v>
      </c>
      <c r="N330" s="55">
        <v>0</v>
      </c>
      <c r="O330" s="52">
        <v>0</v>
      </c>
      <c r="P330" s="4">
        <f t="shared" si="10"/>
        <v>0.84999995245973314</v>
      </c>
      <c r="Q330" s="71"/>
      <c r="R330" s="71"/>
      <c r="S330" s="3">
        <f t="shared" si="9"/>
        <v>0</v>
      </c>
    </row>
    <row r="331" spans="1:19" x14ac:dyDescent="0.3">
      <c r="A331" s="5" t="s">
        <v>7</v>
      </c>
      <c r="B331" s="5" t="s">
        <v>474</v>
      </c>
      <c r="C331" s="5">
        <v>563663</v>
      </c>
      <c r="D331" s="5" t="s">
        <v>499</v>
      </c>
      <c r="E331" s="34" t="s">
        <v>502</v>
      </c>
      <c r="F331" s="5" t="s">
        <v>692</v>
      </c>
      <c r="G331" s="5" t="s">
        <v>692</v>
      </c>
      <c r="H331" s="5" t="s">
        <v>692</v>
      </c>
      <c r="I331" s="5" t="s">
        <v>692</v>
      </c>
      <c r="J331" s="53">
        <v>238203.42</v>
      </c>
      <c r="K331" s="56">
        <v>35730.510000000038</v>
      </c>
      <c r="L331" s="56">
        <v>202472.90999999997</v>
      </c>
      <c r="M331" s="55">
        <v>202472.90999999997</v>
      </c>
      <c r="N331" s="55">
        <v>0</v>
      </c>
      <c r="O331" s="52">
        <v>0</v>
      </c>
      <c r="P331" s="4">
        <f t="shared" si="10"/>
        <v>0.85000001259427749</v>
      </c>
      <c r="Q331" s="71"/>
      <c r="R331" s="71"/>
      <c r="S331" s="3">
        <f t="shared" si="9"/>
        <v>0</v>
      </c>
    </row>
    <row r="332" spans="1:19" x14ac:dyDescent="0.3">
      <c r="A332" s="5" t="s">
        <v>7</v>
      </c>
      <c r="B332" s="5" t="s">
        <v>474</v>
      </c>
      <c r="C332" s="5">
        <v>563663</v>
      </c>
      <c r="D332" s="5" t="s">
        <v>499</v>
      </c>
      <c r="E332" s="34" t="s">
        <v>503</v>
      </c>
      <c r="F332" s="5" t="s">
        <v>692</v>
      </c>
      <c r="G332" s="5" t="s">
        <v>692</v>
      </c>
      <c r="H332" s="5" t="s">
        <v>692</v>
      </c>
      <c r="I332" s="5" t="s">
        <v>692</v>
      </c>
      <c r="J332" s="53">
        <v>23934.129999999997</v>
      </c>
      <c r="K332" s="56">
        <v>0</v>
      </c>
      <c r="L332" s="56">
        <v>23934.129999999997</v>
      </c>
      <c r="M332" s="55">
        <v>20344.010499999997</v>
      </c>
      <c r="N332" s="55">
        <v>3590.1195000000007</v>
      </c>
      <c r="O332" s="52">
        <v>0</v>
      </c>
      <c r="P332" s="4">
        <f t="shared" si="10"/>
        <v>1</v>
      </c>
      <c r="Q332" s="71"/>
      <c r="R332" s="71"/>
      <c r="S332" s="3">
        <f t="shared" si="9"/>
        <v>0</v>
      </c>
    </row>
    <row r="333" spans="1:19" x14ac:dyDescent="0.3">
      <c r="A333" s="5" t="s">
        <v>7</v>
      </c>
      <c r="B333" s="5" t="s">
        <v>474</v>
      </c>
      <c r="C333" s="5">
        <v>563663</v>
      </c>
      <c r="D333" s="5" t="s">
        <v>499</v>
      </c>
      <c r="E333" s="34" t="s">
        <v>504</v>
      </c>
      <c r="F333" s="49" t="s">
        <v>692</v>
      </c>
      <c r="G333" s="49" t="s">
        <v>692</v>
      </c>
      <c r="H333" s="49" t="s">
        <v>692</v>
      </c>
      <c r="I333" s="49" t="s">
        <v>692</v>
      </c>
      <c r="J333" s="53">
        <v>26615.59</v>
      </c>
      <c r="K333" s="56">
        <v>0</v>
      </c>
      <c r="L333" s="56">
        <v>26615.59</v>
      </c>
      <c r="M333" s="55">
        <v>22623.251499999998</v>
      </c>
      <c r="N333" s="55">
        <v>3992.3385000000017</v>
      </c>
      <c r="O333" s="52">
        <v>0</v>
      </c>
      <c r="P333" s="4">
        <f t="shared" si="10"/>
        <v>1</v>
      </c>
      <c r="Q333" s="71"/>
      <c r="R333" s="71"/>
      <c r="S333" s="3">
        <f t="shared" si="9"/>
        <v>0</v>
      </c>
    </row>
    <row r="334" spans="1:19" ht="29.55" x14ac:dyDescent="0.3">
      <c r="A334" s="5" t="s">
        <v>7</v>
      </c>
      <c r="B334" s="5" t="s">
        <v>474</v>
      </c>
      <c r="C334" s="5">
        <v>563663</v>
      </c>
      <c r="D334" s="5" t="s">
        <v>499</v>
      </c>
      <c r="E334" s="40" t="s">
        <v>495</v>
      </c>
      <c r="F334" s="5" t="s">
        <v>692</v>
      </c>
      <c r="G334" s="5" t="s">
        <v>692</v>
      </c>
      <c r="H334" s="5" t="s">
        <v>692</v>
      </c>
      <c r="I334" s="5" t="s">
        <v>692</v>
      </c>
      <c r="J334" s="53">
        <v>21745.11</v>
      </c>
      <c r="K334" s="56">
        <v>0</v>
      </c>
      <c r="L334" s="56">
        <v>21745.11</v>
      </c>
      <c r="M334" s="55">
        <v>18483.343499999999</v>
      </c>
      <c r="N334" s="55">
        <v>3261.7665000000015</v>
      </c>
      <c r="O334" s="52">
        <v>0</v>
      </c>
      <c r="P334" s="4">
        <f t="shared" si="10"/>
        <v>1</v>
      </c>
      <c r="Q334" s="71"/>
      <c r="R334" s="71"/>
      <c r="S334" s="3">
        <f t="shared" si="9"/>
        <v>0</v>
      </c>
    </row>
    <row r="335" spans="1:19" x14ac:dyDescent="0.3">
      <c r="A335" s="5" t="s">
        <v>7</v>
      </c>
      <c r="B335" s="5" t="s">
        <v>474</v>
      </c>
      <c r="C335" s="5">
        <v>563663</v>
      </c>
      <c r="D335" s="5" t="s">
        <v>499</v>
      </c>
      <c r="E335" s="34" t="s">
        <v>505</v>
      </c>
      <c r="F335" s="5" t="s">
        <v>692</v>
      </c>
      <c r="G335" s="5" t="s">
        <v>692</v>
      </c>
      <c r="H335" s="5" t="s">
        <v>692</v>
      </c>
      <c r="I335" s="5" t="s">
        <v>692</v>
      </c>
      <c r="J335" s="53">
        <v>35069.54</v>
      </c>
      <c r="K335" s="56">
        <v>5260.48</v>
      </c>
      <c r="L335" s="56">
        <v>29809.06</v>
      </c>
      <c r="M335" s="55">
        <v>29809.06</v>
      </c>
      <c r="N335" s="55">
        <v>0</v>
      </c>
      <c r="O335" s="52">
        <v>0</v>
      </c>
      <c r="P335" s="4">
        <f t="shared" si="10"/>
        <v>0.8499986027760843</v>
      </c>
      <c r="Q335" s="71"/>
      <c r="R335" s="71"/>
      <c r="S335" s="3">
        <f t="shared" si="9"/>
        <v>0</v>
      </c>
    </row>
    <row r="336" spans="1:19" x14ac:dyDescent="0.3">
      <c r="A336" s="5" t="s">
        <v>7</v>
      </c>
      <c r="B336" s="5" t="s">
        <v>474</v>
      </c>
      <c r="C336" s="5">
        <v>563663</v>
      </c>
      <c r="D336" s="5" t="s">
        <v>499</v>
      </c>
      <c r="E336" s="34" t="s">
        <v>506</v>
      </c>
      <c r="F336" s="5" t="s">
        <v>692</v>
      </c>
      <c r="G336" s="5" t="s">
        <v>692</v>
      </c>
      <c r="H336" s="5" t="s">
        <v>692</v>
      </c>
      <c r="I336" s="5" t="s">
        <v>692</v>
      </c>
      <c r="J336" s="53">
        <v>104418.67000000001</v>
      </c>
      <c r="K336" s="56">
        <v>15662.570000000007</v>
      </c>
      <c r="L336" s="56">
        <v>88756.1</v>
      </c>
      <c r="M336" s="55">
        <v>88756.1</v>
      </c>
      <c r="N336" s="55">
        <v>0</v>
      </c>
      <c r="O336" s="52">
        <v>0</v>
      </c>
      <c r="P336" s="4">
        <f t="shared" si="10"/>
        <v>0.85000220745964294</v>
      </c>
      <c r="Q336" s="71"/>
      <c r="R336" s="71"/>
      <c r="S336" s="3">
        <f t="shared" si="9"/>
        <v>0</v>
      </c>
    </row>
    <row r="337" spans="1:19" x14ac:dyDescent="0.3">
      <c r="A337" s="5" t="s">
        <v>7</v>
      </c>
      <c r="B337" s="5" t="s">
        <v>474</v>
      </c>
      <c r="C337" s="5">
        <v>563663</v>
      </c>
      <c r="D337" s="5" t="s">
        <v>499</v>
      </c>
      <c r="E337" s="34" t="s">
        <v>507</v>
      </c>
      <c r="F337" s="48" t="s">
        <v>692</v>
      </c>
      <c r="G337" s="48" t="s">
        <v>692</v>
      </c>
      <c r="H337" s="48" t="s">
        <v>692</v>
      </c>
      <c r="I337" s="48" t="s">
        <v>692</v>
      </c>
      <c r="J337" s="53">
        <v>9974.61</v>
      </c>
      <c r="K337" s="56">
        <v>0</v>
      </c>
      <c r="L337" s="56">
        <v>9974.61</v>
      </c>
      <c r="M337" s="55">
        <v>8478.4184999999998</v>
      </c>
      <c r="N337" s="55">
        <v>1496.1915000000008</v>
      </c>
      <c r="O337" s="52">
        <v>0</v>
      </c>
      <c r="P337" s="4">
        <f t="shared" si="10"/>
        <v>1</v>
      </c>
      <c r="Q337" s="71"/>
      <c r="R337" s="71"/>
      <c r="S337" s="3">
        <f t="shared" si="9"/>
        <v>0</v>
      </c>
    </row>
    <row r="338" spans="1:19" x14ac:dyDescent="0.3">
      <c r="A338" s="5" t="s">
        <v>7</v>
      </c>
      <c r="B338" s="5" t="s">
        <v>474</v>
      </c>
      <c r="C338" s="5">
        <v>506686</v>
      </c>
      <c r="D338" s="5" t="s">
        <v>508</v>
      </c>
      <c r="E338" s="37" t="s">
        <v>509</v>
      </c>
      <c r="F338" s="48" t="s">
        <v>692</v>
      </c>
      <c r="G338" s="48" t="s">
        <v>692</v>
      </c>
      <c r="H338" s="48" t="s">
        <v>692</v>
      </c>
      <c r="I338" s="48" t="s">
        <v>692</v>
      </c>
      <c r="J338" s="53">
        <v>227361.69999999998</v>
      </c>
      <c r="K338" s="56">
        <v>0</v>
      </c>
      <c r="L338" s="56">
        <v>227361.69999999998</v>
      </c>
      <c r="M338" s="55">
        <v>193257.44499999998</v>
      </c>
      <c r="N338" s="55">
        <v>34104.255000000005</v>
      </c>
      <c r="O338" s="52">
        <v>0</v>
      </c>
      <c r="P338" s="4">
        <f t="shared" si="10"/>
        <v>1</v>
      </c>
      <c r="Q338" s="71"/>
      <c r="R338" s="71"/>
      <c r="S338" s="3">
        <f t="shared" si="9"/>
        <v>0</v>
      </c>
    </row>
    <row r="339" spans="1:19" x14ac:dyDescent="0.3">
      <c r="A339" s="5" t="s">
        <v>7</v>
      </c>
      <c r="B339" s="5" t="s">
        <v>474</v>
      </c>
      <c r="C339" s="5">
        <v>506686</v>
      </c>
      <c r="D339" s="5" t="s">
        <v>508</v>
      </c>
      <c r="E339" s="37" t="s">
        <v>510</v>
      </c>
      <c r="F339" s="48" t="s">
        <v>692</v>
      </c>
      <c r="G339" s="48" t="s">
        <v>692</v>
      </c>
      <c r="H339" s="48" t="s">
        <v>692</v>
      </c>
      <c r="I339" s="48" t="s">
        <v>692</v>
      </c>
      <c r="J339" s="53">
        <v>52436.68</v>
      </c>
      <c r="K339" s="56">
        <v>7865.5019999999995</v>
      </c>
      <c r="L339" s="56">
        <v>44571.178</v>
      </c>
      <c r="M339" s="55">
        <v>44571.178</v>
      </c>
      <c r="N339" s="55">
        <v>0</v>
      </c>
      <c r="O339" s="52">
        <v>0</v>
      </c>
      <c r="P339" s="4">
        <f t="shared" si="10"/>
        <v>0.85</v>
      </c>
      <c r="Q339" s="71"/>
      <c r="R339" s="71"/>
      <c r="S339" s="3">
        <f t="shared" si="9"/>
        <v>0</v>
      </c>
    </row>
    <row r="340" spans="1:19" x14ac:dyDescent="0.3">
      <c r="A340" s="5" t="s">
        <v>7</v>
      </c>
      <c r="B340" s="5" t="s">
        <v>474</v>
      </c>
      <c r="C340" s="5">
        <v>506686</v>
      </c>
      <c r="D340" s="5" t="s">
        <v>508</v>
      </c>
      <c r="E340" s="37" t="s">
        <v>511</v>
      </c>
      <c r="F340" s="48" t="s">
        <v>692</v>
      </c>
      <c r="G340" s="48" t="s">
        <v>692</v>
      </c>
      <c r="H340" s="48" t="s">
        <v>692</v>
      </c>
      <c r="I340" s="48" t="s">
        <v>692</v>
      </c>
      <c r="J340" s="53">
        <v>73669.320000000022</v>
      </c>
      <c r="K340" s="56">
        <v>11050.398000000003</v>
      </c>
      <c r="L340" s="56">
        <v>62618.922000000013</v>
      </c>
      <c r="M340" s="55">
        <v>62618.922000000013</v>
      </c>
      <c r="N340" s="55">
        <v>0</v>
      </c>
      <c r="O340" s="52">
        <v>0</v>
      </c>
      <c r="P340" s="4">
        <f t="shared" si="10"/>
        <v>0.85</v>
      </c>
      <c r="Q340" s="71"/>
      <c r="R340" s="71"/>
      <c r="S340" s="3">
        <f t="shared" si="9"/>
        <v>0</v>
      </c>
    </row>
    <row r="341" spans="1:19" x14ac:dyDescent="0.3">
      <c r="A341" s="5" t="s">
        <v>7</v>
      </c>
      <c r="B341" s="5" t="s">
        <v>474</v>
      </c>
      <c r="C341" s="5">
        <v>506686</v>
      </c>
      <c r="D341" s="5" t="s">
        <v>508</v>
      </c>
      <c r="E341" s="37" t="s">
        <v>512</v>
      </c>
      <c r="F341" s="48" t="s">
        <v>692</v>
      </c>
      <c r="G341" s="48" t="s">
        <v>692</v>
      </c>
      <c r="H341" s="48" t="s">
        <v>692</v>
      </c>
      <c r="I341" s="48" t="s">
        <v>692</v>
      </c>
      <c r="J341" s="53">
        <v>186493.59000000003</v>
      </c>
      <c r="K341" s="56">
        <v>27974.038500000002</v>
      </c>
      <c r="L341" s="56">
        <v>158519.55150000003</v>
      </c>
      <c r="M341" s="55">
        <v>158519.55150000003</v>
      </c>
      <c r="N341" s="55">
        <v>0</v>
      </c>
      <c r="O341" s="52">
        <v>0</v>
      </c>
      <c r="P341" s="4">
        <f t="shared" si="10"/>
        <v>0.85000000000000009</v>
      </c>
      <c r="Q341" s="71"/>
      <c r="R341" s="71"/>
      <c r="S341" s="3">
        <f t="shared" si="9"/>
        <v>0</v>
      </c>
    </row>
    <row r="342" spans="1:19" x14ac:dyDescent="0.3">
      <c r="A342" s="5" t="s">
        <v>7</v>
      </c>
      <c r="B342" s="5" t="s">
        <v>474</v>
      </c>
      <c r="C342" s="5">
        <v>506686</v>
      </c>
      <c r="D342" s="5" t="s">
        <v>508</v>
      </c>
      <c r="E342" s="37" t="s">
        <v>513</v>
      </c>
      <c r="F342" s="48" t="s">
        <v>692</v>
      </c>
      <c r="G342" s="48" t="s">
        <v>692</v>
      </c>
      <c r="H342" s="48" t="s">
        <v>692</v>
      </c>
      <c r="I342" s="48" t="s">
        <v>692</v>
      </c>
      <c r="J342" s="53">
        <v>381482.59</v>
      </c>
      <c r="K342" s="56">
        <v>0</v>
      </c>
      <c r="L342" s="56">
        <v>381482.59</v>
      </c>
      <c r="M342" s="55">
        <v>324260.20150000002</v>
      </c>
      <c r="N342" s="55">
        <v>57222.388500000001</v>
      </c>
      <c r="O342" s="52">
        <v>0</v>
      </c>
      <c r="P342" s="4">
        <f t="shared" si="10"/>
        <v>1</v>
      </c>
      <c r="Q342" s="71"/>
      <c r="R342" s="71"/>
      <c r="S342" s="3">
        <f t="shared" si="9"/>
        <v>0</v>
      </c>
    </row>
    <row r="343" spans="1:19" x14ac:dyDescent="0.3">
      <c r="A343" s="5" t="s">
        <v>7</v>
      </c>
      <c r="B343" s="5" t="s">
        <v>474</v>
      </c>
      <c r="C343" s="10">
        <v>581511</v>
      </c>
      <c r="D343" s="5" t="s">
        <v>514</v>
      </c>
      <c r="E343" s="37" t="s">
        <v>515</v>
      </c>
      <c r="F343" s="18" t="s">
        <v>692</v>
      </c>
      <c r="G343" s="18" t="s">
        <v>692</v>
      </c>
      <c r="H343" s="18" t="s">
        <v>692</v>
      </c>
      <c r="I343" s="18" t="s">
        <v>692</v>
      </c>
      <c r="J343" s="53">
        <v>582005</v>
      </c>
      <c r="K343" s="56">
        <v>0</v>
      </c>
      <c r="L343" s="56">
        <v>582005</v>
      </c>
      <c r="M343" s="55">
        <v>494704.25</v>
      </c>
      <c r="N343" s="55">
        <v>87300.75</v>
      </c>
      <c r="O343" s="52">
        <v>0</v>
      </c>
      <c r="P343" s="4">
        <f t="shared" si="10"/>
        <v>1</v>
      </c>
      <c r="Q343" s="71"/>
      <c r="R343" s="71"/>
      <c r="S343" s="3">
        <f t="shared" si="9"/>
        <v>0</v>
      </c>
    </row>
    <row r="344" spans="1:19" x14ac:dyDescent="0.3">
      <c r="A344" s="5" t="s">
        <v>421</v>
      </c>
      <c r="B344" s="5" t="s">
        <v>474</v>
      </c>
      <c r="C344" s="10">
        <v>1418951</v>
      </c>
      <c r="D344" s="5" t="s">
        <v>516</v>
      </c>
      <c r="E344" s="38" t="s">
        <v>501</v>
      </c>
      <c r="F344" s="18" t="s">
        <v>692</v>
      </c>
      <c r="G344" s="18" t="s">
        <v>692</v>
      </c>
      <c r="H344" s="18" t="s">
        <v>692</v>
      </c>
      <c r="I344" s="18" t="s">
        <v>692</v>
      </c>
      <c r="J344" s="53">
        <v>340952.16000000003</v>
      </c>
      <c r="K344" s="59">
        <v>51142.82</v>
      </c>
      <c r="L344" s="59">
        <v>289809.34000000003</v>
      </c>
      <c r="M344" s="55">
        <v>289809.34000000003</v>
      </c>
      <c r="N344" s="55">
        <v>0</v>
      </c>
      <c r="O344" s="52">
        <v>0</v>
      </c>
      <c r="P344" s="4">
        <f t="shared" si="10"/>
        <v>0.85000001173185114</v>
      </c>
      <c r="Q344" s="71"/>
      <c r="R344" s="71"/>
      <c r="S344" s="3">
        <f t="shared" si="9"/>
        <v>0</v>
      </c>
    </row>
    <row r="345" spans="1:19" x14ac:dyDescent="0.3">
      <c r="A345" s="5" t="s">
        <v>421</v>
      </c>
      <c r="B345" s="5" t="s">
        <v>474</v>
      </c>
      <c r="C345" s="10">
        <v>1418951</v>
      </c>
      <c r="D345" s="5" t="s">
        <v>516</v>
      </c>
      <c r="E345" s="38" t="s">
        <v>502</v>
      </c>
      <c r="F345" s="48" t="s">
        <v>692</v>
      </c>
      <c r="G345" s="48" t="s">
        <v>692</v>
      </c>
      <c r="H345" s="48" t="s">
        <v>692</v>
      </c>
      <c r="I345" s="48" t="s">
        <v>692</v>
      </c>
      <c r="J345" s="53">
        <v>236000</v>
      </c>
      <c r="K345" s="59">
        <v>35400</v>
      </c>
      <c r="L345" s="59">
        <v>200600</v>
      </c>
      <c r="M345" s="55">
        <v>200600</v>
      </c>
      <c r="N345" s="55">
        <v>0</v>
      </c>
      <c r="O345" s="52">
        <v>0</v>
      </c>
      <c r="P345" s="4">
        <f t="shared" si="10"/>
        <v>0.85</v>
      </c>
      <c r="Q345" s="71"/>
      <c r="R345" s="71"/>
      <c r="S345" s="3">
        <f t="shared" si="9"/>
        <v>0</v>
      </c>
    </row>
    <row r="346" spans="1:19" x14ac:dyDescent="0.3">
      <c r="A346" s="5" t="s">
        <v>421</v>
      </c>
      <c r="B346" s="5" t="s">
        <v>474</v>
      </c>
      <c r="C346" s="10">
        <v>1418951</v>
      </c>
      <c r="D346" s="5" t="s">
        <v>516</v>
      </c>
      <c r="E346" s="37" t="s">
        <v>517</v>
      </c>
      <c r="F346" s="48" t="s">
        <v>692</v>
      </c>
      <c r="G346" s="48" t="s">
        <v>692</v>
      </c>
      <c r="H346" s="48" t="s">
        <v>692</v>
      </c>
      <c r="I346" s="48" t="s">
        <v>692</v>
      </c>
      <c r="J346" s="53">
        <v>0</v>
      </c>
      <c r="K346" s="59">
        <v>0</v>
      </c>
      <c r="L346" s="59">
        <v>0</v>
      </c>
      <c r="M346" s="55">
        <v>0</v>
      </c>
      <c r="N346" s="55">
        <v>0</v>
      </c>
      <c r="O346" s="52">
        <v>0</v>
      </c>
      <c r="P346" s="4" t="e">
        <f t="shared" si="10"/>
        <v>#DIV/0!</v>
      </c>
      <c r="Q346" s="71"/>
      <c r="R346" s="71"/>
      <c r="S346" s="3">
        <f t="shared" si="9"/>
        <v>0</v>
      </c>
    </row>
    <row r="347" spans="1:19" x14ac:dyDescent="0.3">
      <c r="A347" s="5" t="s">
        <v>421</v>
      </c>
      <c r="B347" s="5" t="s">
        <v>474</v>
      </c>
      <c r="C347" s="10">
        <v>1418951</v>
      </c>
      <c r="D347" s="5" t="s">
        <v>516</v>
      </c>
      <c r="E347" s="37" t="s">
        <v>518</v>
      </c>
      <c r="F347" s="48" t="s">
        <v>692</v>
      </c>
      <c r="G347" s="48">
        <v>13137</v>
      </c>
      <c r="H347" s="48">
        <v>2066279</v>
      </c>
      <c r="I347" s="48" t="s">
        <v>692</v>
      </c>
      <c r="J347" s="53">
        <v>42000</v>
      </c>
      <c r="K347" s="59">
        <v>6300</v>
      </c>
      <c r="L347" s="59">
        <v>35700</v>
      </c>
      <c r="M347" s="55">
        <v>35700</v>
      </c>
      <c r="N347" s="55">
        <v>0</v>
      </c>
      <c r="O347" s="52">
        <v>0</v>
      </c>
      <c r="P347" s="4">
        <f t="shared" si="10"/>
        <v>0.85</v>
      </c>
      <c r="Q347" s="71"/>
      <c r="R347" s="71"/>
      <c r="S347" s="3">
        <f t="shared" si="9"/>
        <v>0</v>
      </c>
    </row>
    <row r="348" spans="1:19" x14ac:dyDescent="0.3">
      <c r="A348" s="5" t="s">
        <v>421</v>
      </c>
      <c r="B348" s="5" t="s">
        <v>474</v>
      </c>
      <c r="C348" s="10">
        <v>1418951</v>
      </c>
      <c r="D348" s="5" t="s">
        <v>516</v>
      </c>
      <c r="E348" s="37" t="s">
        <v>519</v>
      </c>
      <c r="F348" s="48" t="s">
        <v>692</v>
      </c>
      <c r="G348" s="48" t="s">
        <v>692</v>
      </c>
      <c r="H348" s="48" t="s">
        <v>692</v>
      </c>
      <c r="I348" s="48" t="s">
        <v>692</v>
      </c>
      <c r="J348" s="53">
        <v>0</v>
      </c>
      <c r="K348" s="56">
        <v>0</v>
      </c>
      <c r="L348" s="59">
        <v>0</v>
      </c>
      <c r="M348" s="55">
        <v>0</v>
      </c>
      <c r="N348" s="55">
        <v>0</v>
      </c>
      <c r="O348" s="52">
        <v>0</v>
      </c>
      <c r="P348" s="4" t="e">
        <f t="shared" si="10"/>
        <v>#DIV/0!</v>
      </c>
      <c r="Q348" s="71"/>
      <c r="R348" s="71"/>
      <c r="S348" s="3">
        <f t="shared" si="9"/>
        <v>0</v>
      </c>
    </row>
    <row r="349" spans="1:19" ht="29.55" x14ac:dyDescent="0.3">
      <c r="A349" s="5" t="s">
        <v>421</v>
      </c>
      <c r="B349" s="5" t="s">
        <v>474</v>
      </c>
      <c r="C349" s="10">
        <v>1418951</v>
      </c>
      <c r="D349" s="5" t="s">
        <v>516</v>
      </c>
      <c r="E349" s="37" t="s">
        <v>520</v>
      </c>
      <c r="F349" s="48" t="s">
        <v>692</v>
      </c>
      <c r="G349" s="48" t="s">
        <v>692</v>
      </c>
      <c r="H349" s="48" t="s">
        <v>692</v>
      </c>
      <c r="I349" s="48" t="s">
        <v>692</v>
      </c>
      <c r="J349" s="53">
        <v>115072</v>
      </c>
      <c r="K349" s="59">
        <v>17260.8</v>
      </c>
      <c r="L349" s="59">
        <v>97811.199999999997</v>
      </c>
      <c r="M349" s="55">
        <v>97811.199999999997</v>
      </c>
      <c r="N349" s="55">
        <v>0</v>
      </c>
      <c r="O349" s="52">
        <v>0</v>
      </c>
      <c r="P349" s="4">
        <f t="shared" si="10"/>
        <v>0.85</v>
      </c>
      <c r="Q349" s="71"/>
      <c r="R349" s="71"/>
      <c r="S349" s="3">
        <f t="shared" si="9"/>
        <v>0</v>
      </c>
    </row>
    <row r="350" spans="1:19" x14ac:dyDescent="0.3">
      <c r="A350" s="5" t="s">
        <v>421</v>
      </c>
      <c r="B350" s="5" t="s">
        <v>474</v>
      </c>
      <c r="C350" s="10">
        <v>1418951</v>
      </c>
      <c r="D350" s="5" t="s">
        <v>516</v>
      </c>
      <c r="E350" s="37" t="s">
        <v>521</v>
      </c>
      <c r="F350" s="48" t="s">
        <v>692</v>
      </c>
      <c r="G350" s="48" t="s">
        <v>692</v>
      </c>
      <c r="H350" s="48" t="s">
        <v>692</v>
      </c>
      <c r="I350" s="48" t="s">
        <v>692</v>
      </c>
      <c r="J350" s="53">
        <v>42000</v>
      </c>
      <c r="K350" s="59">
        <v>6300</v>
      </c>
      <c r="L350" s="59">
        <v>35700</v>
      </c>
      <c r="M350" s="55">
        <v>35700</v>
      </c>
      <c r="N350" s="55">
        <v>0</v>
      </c>
      <c r="O350" s="52">
        <v>0</v>
      </c>
      <c r="P350" s="4">
        <f t="shared" si="10"/>
        <v>0.85</v>
      </c>
      <c r="Q350" s="71"/>
      <c r="R350" s="71"/>
      <c r="S350" s="3">
        <f t="shared" si="9"/>
        <v>0</v>
      </c>
    </row>
    <row r="351" spans="1:19" x14ac:dyDescent="0.3">
      <c r="A351" s="5" t="s">
        <v>421</v>
      </c>
      <c r="B351" s="5" t="s">
        <v>474</v>
      </c>
      <c r="C351" s="10">
        <v>1441882</v>
      </c>
      <c r="D351" s="5" t="s">
        <v>522</v>
      </c>
      <c r="E351" s="37" t="s">
        <v>523</v>
      </c>
      <c r="F351" s="48" t="s">
        <v>692</v>
      </c>
      <c r="G351" s="48" t="s">
        <v>692</v>
      </c>
      <c r="H351" s="48" t="s">
        <v>692</v>
      </c>
      <c r="I351" s="48" t="s">
        <v>692</v>
      </c>
      <c r="J351" s="53">
        <v>501802</v>
      </c>
      <c r="K351" s="56">
        <v>0</v>
      </c>
      <c r="L351" s="56">
        <v>501802</v>
      </c>
      <c r="M351" s="55">
        <v>426531.7</v>
      </c>
      <c r="N351" s="55">
        <v>75270.299999999988</v>
      </c>
      <c r="O351" s="52">
        <v>0</v>
      </c>
      <c r="P351" s="4">
        <f t="shared" si="10"/>
        <v>1</v>
      </c>
      <c r="Q351" s="71"/>
      <c r="R351" s="71"/>
      <c r="S351" s="3">
        <f t="shared" si="9"/>
        <v>0</v>
      </c>
    </row>
    <row r="352" spans="1:19" ht="29.55" x14ac:dyDescent="0.3">
      <c r="A352" s="5" t="s">
        <v>421</v>
      </c>
      <c r="B352" s="5" t="s">
        <v>474</v>
      </c>
      <c r="C352" s="10">
        <v>1441882</v>
      </c>
      <c r="D352" s="5" t="s">
        <v>522</v>
      </c>
      <c r="E352" s="37" t="s">
        <v>524</v>
      </c>
      <c r="F352" s="48" t="s">
        <v>692</v>
      </c>
      <c r="G352" s="48" t="s">
        <v>692</v>
      </c>
      <c r="H352" s="48" t="s">
        <v>692</v>
      </c>
      <c r="I352" s="48" t="s">
        <v>692</v>
      </c>
      <c r="J352" s="53">
        <v>49770.720000000001</v>
      </c>
      <c r="K352" s="56">
        <v>0</v>
      </c>
      <c r="L352" s="56">
        <v>49770.720000000001</v>
      </c>
      <c r="M352" s="55">
        <v>42305.112000000001</v>
      </c>
      <c r="N352" s="55">
        <v>7465.6080000000002</v>
      </c>
      <c r="O352" s="52">
        <v>0</v>
      </c>
      <c r="P352" s="4">
        <f t="shared" si="10"/>
        <v>1</v>
      </c>
      <c r="Q352" s="71"/>
      <c r="R352" s="71"/>
      <c r="S352" s="3">
        <f t="shared" si="9"/>
        <v>0</v>
      </c>
    </row>
    <row r="353" spans="1:20" x14ac:dyDescent="0.3">
      <c r="A353" s="5" t="s">
        <v>421</v>
      </c>
      <c r="B353" s="5" t="s">
        <v>474</v>
      </c>
      <c r="C353" s="10">
        <v>1441882</v>
      </c>
      <c r="D353" s="5" t="s">
        <v>522</v>
      </c>
      <c r="E353" s="37" t="s">
        <v>525</v>
      </c>
      <c r="F353" s="48" t="s">
        <v>692</v>
      </c>
      <c r="G353" s="48" t="s">
        <v>692</v>
      </c>
      <c r="H353" s="48" t="s">
        <v>692</v>
      </c>
      <c r="I353" s="48" t="s">
        <v>692</v>
      </c>
      <c r="J353" s="53">
        <v>93590</v>
      </c>
      <c r="K353" s="56">
        <v>0</v>
      </c>
      <c r="L353" s="56">
        <v>93590</v>
      </c>
      <c r="M353" s="55">
        <v>79551.5</v>
      </c>
      <c r="N353" s="55">
        <v>14038.5</v>
      </c>
      <c r="O353" s="52">
        <v>0</v>
      </c>
      <c r="P353" s="4">
        <f t="shared" si="10"/>
        <v>1</v>
      </c>
      <c r="Q353" s="71"/>
      <c r="R353" s="71"/>
      <c r="S353" s="3">
        <f t="shared" si="9"/>
        <v>0</v>
      </c>
    </row>
    <row r="354" spans="1:20" x14ac:dyDescent="0.3">
      <c r="A354" s="5" t="s">
        <v>421</v>
      </c>
      <c r="B354" s="5" t="s">
        <v>474</v>
      </c>
      <c r="C354" s="10">
        <v>1441882</v>
      </c>
      <c r="D354" s="5" t="s">
        <v>522</v>
      </c>
      <c r="E354" s="37" t="s">
        <v>460</v>
      </c>
      <c r="F354" s="48" t="s">
        <v>692</v>
      </c>
      <c r="G354" s="48" t="s">
        <v>692</v>
      </c>
      <c r="H354" s="48" t="s">
        <v>692</v>
      </c>
      <c r="I354" s="48" t="s">
        <v>692</v>
      </c>
      <c r="J354" s="53">
        <v>83815.27</v>
      </c>
      <c r="K354" s="56">
        <v>0</v>
      </c>
      <c r="L354" s="56">
        <v>83815.27</v>
      </c>
      <c r="M354" s="55">
        <v>71242.979500000001</v>
      </c>
      <c r="N354" s="55">
        <v>12572.290500000003</v>
      </c>
      <c r="O354" s="52">
        <v>0</v>
      </c>
      <c r="P354" s="4">
        <f t="shared" si="10"/>
        <v>1</v>
      </c>
      <c r="Q354" s="71"/>
      <c r="R354" s="71"/>
      <c r="S354" s="3">
        <f t="shared" si="9"/>
        <v>0</v>
      </c>
    </row>
    <row r="355" spans="1:20" x14ac:dyDescent="0.3">
      <c r="A355" s="5" t="s">
        <v>421</v>
      </c>
      <c r="B355" s="5" t="s">
        <v>474</v>
      </c>
      <c r="C355" s="10">
        <v>1441882</v>
      </c>
      <c r="D355" s="5" t="s">
        <v>522</v>
      </c>
      <c r="E355" s="37" t="s">
        <v>526</v>
      </c>
      <c r="F355" s="48" t="s">
        <v>692</v>
      </c>
      <c r="G355" s="48" t="s">
        <v>692</v>
      </c>
      <c r="H355" s="48" t="s">
        <v>692</v>
      </c>
      <c r="I355" s="48" t="s">
        <v>692</v>
      </c>
      <c r="J355" s="53">
        <v>76100</v>
      </c>
      <c r="K355" s="56">
        <v>0</v>
      </c>
      <c r="L355" s="56">
        <v>76100</v>
      </c>
      <c r="M355" s="55">
        <v>64685</v>
      </c>
      <c r="N355" s="55">
        <v>11415</v>
      </c>
      <c r="O355" s="52">
        <v>0</v>
      </c>
      <c r="P355" s="4">
        <f t="shared" si="10"/>
        <v>1</v>
      </c>
      <c r="Q355" s="71"/>
      <c r="R355" s="71"/>
      <c r="S355" s="3">
        <f t="shared" si="9"/>
        <v>0</v>
      </c>
    </row>
    <row r="356" spans="1:20" ht="29.55" x14ac:dyDescent="0.3">
      <c r="A356" s="5" t="s">
        <v>421</v>
      </c>
      <c r="B356" s="5" t="s">
        <v>474</v>
      </c>
      <c r="C356" s="10">
        <v>1510020</v>
      </c>
      <c r="D356" s="5" t="s">
        <v>527</v>
      </c>
      <c r="E356" s="37" t="s">
        <v>528</v>
      </c>
      <c r="F356" s="48" t="s">
        <v>692</v>
      </c>
      <c r="G356" s="48" t="s">
        <v>692</v>
      </c>
      <c r="H356" s="48" t="s">
        <v>692</v>
      </c>
      <c r="I356" s="48" t="s">
        <v>692</v>
      </c>
      <c r="J356" s="53">
        <v>506300.6</v>
      </c>
      <c r="K356" s="59">
        <v>75987.850000000006</v>
      </c>
      <c r="L356" s="59">
        <v>430312.75</v>
      </c>
      <c r="M356" s="55">
        <v>430312.75</v>
      </c>
      <c r="N356" s="55">
        <v>0</v>
      </c>
      <c r="O356" s="52">
        <v>0</v>
      </c>
      <c r="P356" s="4">
        <f t="shared" si="10"/>
        <v>0.84991554424387417</v>
      </c>
      <c r="Q356" s="71"/>
      <c r="R356" s="71"/>
      <c r="S356" s="3">
        <f t="shared" si="9"/>
        <v>0</v>
      </c>
    </row>
    <row r="357" spans="1:20" x14ac:dyDescent="0.3">
      <c r="A357" s="5" t="s">
        <v>421</v>
      </c>
      <c r="B357" s="5" t="s">
        <v>474</v>
      </c>
      <c r="C357" s="10">
        <v>1510020</v>
      </c>
      <c r="D357" s="5" t="s">
        <v>527</v>
      </c>
      <c r="E357" s="37" t="s">
        <v>529</v>
      </c>
      <c r="F357" s="48" t="s">
        <v>692</v>
      </c>
      <c r="G357" s="48" t="s">
        <v>692</v>
      </c>
      <c r="H357" s="48" t="s">
        <v>692</v>
      </c>
      <c r="I357" s="48" t="s">
        <v>692</v>
      </c>
      <c r="J357" s="53">
        <v>103361.2</v>
      </c>
      <c r="K357" s="56">
        <v>0</v>
      </c>
      <c r="L357" s="59">
        <v>103361.2</v>
      </c>
      <c r="M357" s="55">
        <v>87857.01999999999</v>
      </c>
      <c r="N357" s="55">
        <v>15504.180000000008</v>
      </c>
      <c r="O357" s="52">
        <v>0</v>
      </c>
      <c r="P357" s="4">
        <f t="shared" si="10"/>
        <v>1</v>
      </c>
      <c r="Q357" s="71"/>
      <c r="R357" s="71"/>
      <c r="S357" s="3">
        <f t="shared" si="9"/>
        <v>0</v>
      </c>
    </row>
    <row r="358" spans="1:20" x14ac:dyDescent="0.3">
      <c r="A358" s="5" t="s">
        <v>421</v>
      </c>
      <c r="B358" s="5" t="s">
        <v>474</v>
      </c>
      <c r="C358" s="10">
        <v>1510020</v>
      </c>
      <c r="D358" s="5" t="s">
        <v>527</v>
      </c>
      <c r="E358" s="37" t="s">
        <v>530</v>
      </c>
      <c r="F358" s="48" t="s">
        <v>692</v>
      </c>
      <c r="G358" s="48" t="s">
        <v>692</v>
      </c>
      <c r="H358" s="48" t="s">
        <v>692</v>
      </c>
      <c r="I358" s="48" t="s">
        <v>692</v>
      </c>
      <c r="J358" s="53">
        <v>59548.09</v>
      </c>
      <c r="K358" s="56">
        <v>0</v>
      </c>
      <c r="L358" s="59">
        <v>59548.09</v>
      </c>
      <c r="M358" s="55">
        <v>50615.876499999998</v>
      </c>
      <c r="N358" s="55">
        <v>8932.213499999998</v>
      </c>
      <c r="O358" s="52">
        <v>0</v>
      </c>
      <c r="P358" s="4">
        <f t="shared" si="10"/>
        <v>1</v>
      </c>
      <c r="Q358" s="71"/>
      <c r="R358" s="71"/>
      <c r="S358" s="3">
        <f t="shared" si="9"/>
        <v>0</v>
      </c>
    </row>
    <row r="359" spans="1:20" x14ac:dyDescent="0.3">
      <c r="A359" s="5" t="s">
        <v>421</v>
      </c>
      <c r="B359" s="5" t="s">
        <v>474</v>
      </c>
      <c r="C359" s="10">
        <v>1510020</v>
      </c>
      <c r="D359" s="5" t="s">
        <v>527</v>
      </c>
      <c r="E359" s="37" t="s">
        <v>531</v>
      </c>
      <c r="F359" s="48" t="s">
        <v>692</v>
      </c>
      <c r="G359" s="48" t="s">
        <v>692</v>
      </c>
      <c r="H359" s="48" t="s">
        <v>692</v>
      </c>
      <c r="I359" s="48" t="s">
        <v>692</v>
      </c>
      <c r="J359" s="53">
        <v>98031</v>
      </c>
      <c r="K359" s="56">
        <v>0</v>
      </c>
      <c r="L359" s="59">
        <v>98031</v>
      </c>
      <c r="M359" s="55">
        <v>83326.349999999991</v>
      </c>
      <c r="N359" s="55">
        <v>14704.650000000009</v>
      </c>
      <c r="O359" s="52">
        <v>0</v>
      </c>
      <c r="P359" s="4">
        <f t="shared" si="10"/>
        <v>1</v>
      </c>
      <c r="Q359" s="71"/>
      <c r="R359" s="71"/>
      <c r="S359" s="3">
        <f t="shared" si="9"/>
        <v>0</v>
      </c>
    </row>
    <row r="360" spans="1:20" x14ac:dyDescent="0.3">
      <c r="A360" s="5" t="s">
        <v>421</v>
      </c>
      <c r="B360" s="5" t="s">
        <v>474</v>
      </c>
      <c r="C360" s="10">
        <v>1518338</v>
      </c>
      <c r="D360" s="5" t="s">
        <v>532</v>
      </c>
      <c r="E360" s="37" t="s">
        <v>533</v>
      </c>
      <c r="F360" s="48" t="s">
        <v>692</v>
      </c>
      <c r="G360" s="48" t="s">
        <v>692</v>
      </c>
      <c r="H360" s="48" t="s">
        <v>692</v>
      </c>
      <c r="I360" s="48" t="s">
        <v>692</v>
      </c>
      <c r="J360" s="53">
        <v>536356.26</v>
      </c>
      <c r="K360" s="59">
        <f>80453.44</f>
        <v>80453.440000000002</v>
      </c>
      <c r="L360" s="59">
        <f>J360-K360</f>
        <v>455902.82</v>
      </c>
      <c r="M360" s="55">
        <f>L360</f>
        <v>455902.82</v>
      </c>
      <c r="N360" s="55">
        <v>0</v>
      </c>
      <c r="O360" s="52">
        <v>0</v>
      </c>
      <c r="P360" s="4">
        <f t="shared" si="10"/>
        <v>0.84999999813556759</v>
      </c>
      <c r="Q360" s="71">
        <v>8662.85</v>
      </c>
      <c r="R360" s="71">
        <f>Q360*P360</f>
        <v>7363.4224838487016</v>
      </c>
      <c r="S360" s="81">
        <f>R360</f>
        <v>7363.4224838487016</v>
      </c>
      <c r="T360" s="81">
        <f>R360-S360</f>
        <v>0</v>
      </c>
    </row>
    <row r="361" spans="1:20" x14ac:dyDescent="0.3">
      <c r="A361" s="5" t="s">
        <v>421</v>
      </c>
      <c r="B361" s="5" t="s">
        <v>474</v>
      </c>
      <c r="C361" s="10">
        <v>1518338</v>
      </c>
      <c r="D361" s="5" t="s">
        <v>532</v>
      </c>
      <c r="E361" s="37" t="s">
        <v>534</v>
      </c>
      <c r="F361" s="48" t="s">
        <v>692</v>
      </c>
      <c r="G361" s="48" t="s">
        <v>692</v>
      </c>
      <c r="H361" s="48" t="s">
        <v>692</v>
      </c>
      <c r="I361" s="48" t="s">
        <v>692</v>
      </c>
      <c r="J361" s="53">
        <v>0</v>
      </c>
      <c r="K361" s="59">
        <v>0</v>
      </c>
      <c r="L361" s="59">
        <v>0</v>
      </c>
      <c r="M361" s="55">
        <v>0</v>
      </c>
      <c r="N361" s="55">
        <v>0</v>
      </c>
      <c r="O361" s="52">
        <v>0</v>
      </c>
      <c r="P361" s="4" t="e">
        <f t="shared" si="10"/>
        <v>#DIV/0!</v>
      </c>
      <c r="Q361" s="71"/>
      <c r="R361" s="71"/>
      <c r="S361" s="3">
        <f t="shared" si="9"/>
        <v>0</v>
      </c>
    </row>
    <row r="362" spans="1:20" ht="29.55" x14ac:dyDescent="0.3">
      <c r="A362" s="5" t="s">
        <v>421</v>
      </c>
      <c r="B362" s="5" t="s">
        <v>474</v>
      </c>
      <c r="C362" s="10">
        <v>1518338</v>
      </c>
      <c r="D362" s="5" t="s">
        <v>532</v>
      </c>
      <c r="E362" s="37" t="s">
        <v>535</v>
      </c>
      <c r="F362" s="48" t="s">
        <v>692</v>
      </c>
      <c r="G362" s="48" t="s">
        <v>692</v>
      </c>
      <c r="H362" s="48" t="s">
        <v>692</v>
      </c>
      <c r="I362" s="48" t="s">
        <v>692</v>
      </c>
      <c r="J362" s="53">
        <v>110032.15000000001</v>
      </c>
      <c r="K362" s="56">
        <v>0</v>
      </c>
      <c r="L362" s="53">
        <v>110032.15000000001</v>
      </c>
      <c r="M362" s="55">
        <f>L362*0.85</f>
        <v>93527.327499999999</v>
      </c>
      <c r="N362" s="55">
        <f>L362-M362</f>
        <v>16504.822500000009</v>
      </c>
      <c r="O362" s="52">
        <v>0</v>
      </c>
      <c r="P362" s="4">
        <f t="shared" si="10"/>
        <v>1</v>
      </c>
      <c r="Q362" s="71"/>
      <c r="R362" s="71"/>
      <c r="S362" s="3">
        <f t="shared" si="9"/>
        <v>0</v>
      </c>
    </row>
    <row r="363" spans="1:20" x14ac:dyDescent="0.3">
      <c r="A363" s="5" t="s">
        <v>421</v>
      </c>
      <c r="B363" s="5" t="s">
        <v>474</v>
      </c>
      <c r="C363" s="10">
        <v>1569821</v>
      </c>
      <c r="D363" s="5" t="s">
        <v>536</v>
      </c>
      <c r="E363" s="37" t="s">
        <v>537</v>
      </c>
      <c r="F363" s="48" t="s">
        <v>692</v>
      </c>
      <c r="G363" s="48" t="s">
        <v>692</v>
      </c>
      <c r="H363" s="48" t="s">
        <v>692</v>
      </c>
      <c r="I363" s="48" t="s">
        <v>692</v>
      </c>
      <c r="J363" s="53">
        <v>104355.17000000001</v>
      </c>
      <c r="K363" s="59">
        <v>0</v>
      </c>
      <c r="L363" s="59">
        <v>104355.17000000001</v>
      </c>
      <c r="M363" s="55">
        <v>88701.894500000009</v>
      </c>
      <c r="N363" s="55">
        <v>15653.275500000003</v>
      </c>
      <c r="O363" s="52">
        <v>0</v>
      </c>
      <c r="P363" s="4">
        <f t="shared" si="10"/>
        <v>1</v>
      </c>
      <c r="Q363" s="71"/>
      <c r="R363" s="71"/>
      <c r="S363" s="3">
        <f t="shared" ref="S363:S426" si="11">R363*0.85</f>
        <v>0</v>
      </c>
    </row>
    <row r="364" spans="1:20" x14ac:dyDescent="0.3">
      <c r="A364" s="5" t="s">
        <v>421</v>
      </c>
      <c r="B364" s="5" t="s">
        <v>474</v>
      </c>
      <c r="C364" s="10">
        <v>1569821</v>
      </c>
      <c r="D364" s="5" t="s">
        <v>536</v>
      </c>
      <c r="E364" s="37" t="s">
        <v>538</v>
      </c>
      <c r="F364" s="48" t="s">
        <v>692</v>
      </c>
      <c r="G364" s="48" t="s">
        <v>692</v>
      </c>
      <c r="H364" s="48" t="s">
        <v>692</v>
      </c>
      <c r="I364" s="48" t="s">
        <v>692</v>
      </c>
      <c r="J364" s="53">
        <v>122944.67000000001</v>
      </c>
      <c r="K364" s="59">
        <v>0</v>
      </c>
      <c r="L364" s="59">
        <v>122944.67000000001</v>
      </c>
      <c r="M364" s="55">
        <v>104502.96950000001</v>
      </c>
      <c r="N364" s="55">
        <v>18441.700500000006</v>
      </c>
      <c r="O364" s="52">
        <v>0</v>
      </c>
      <c r="P364" s="4">
        <f t="shared" si="10"/>
        <v>1</v>
      </c>
      <c r="Q364" s="71"/>
      <c r="R364" s="71"/>
      <c r="S364" s="3">
        <f t="shared" si="11"/>
        <v>0</v>
      </c>
    </row>
    <row r="365" spans="1:20" x14ac:dyDescent="0.3">
      <c r="A365" s="5" t="s">
        <v>421</v>
      </c>
      <c r="B365" s="5" t="s">
        <v>474</v>
      </c>
      <c r="C365" s="10">
        <v>1569821</v>
      </c>
      <c r="D365" s="5" t="s">
        <v>536</v>
      </c>
      <c r="E365" s="37" t="s">
        <v>539</v>
      </c>
      <c r="F365" s="48" t="s">
        <v>692</v>
      </c>
      <c r="G365" s="48" t="s">
        <v>692</v>
      </c>
      <c r="H365" s="48" t="s">
        <v>692</v>
      </c>
      <c r="I365" s="48" t="s">
        <v>692</v>
      </c>
      <c r="J365" s="53">
        <v>154586.97000000003</v>
      </c>
      <c r="K365" s="59">
        <v>0</v>
      </c>
      <c r="L365" s="59">
        <v>154586.97000000003</v>
      </c>
      <c r="M365" s="55">
        <v>131398.92450000002</v>
      </c>
      <c r="N365" s="55">
        <v>23188.045500000007</v>
      </c>
      <c r="O365" s="52">
        <v>0</v>
      </c>
      <c r="P365" s="4">
        <f t="shared" si="10"/>
        <v>1</v>
      </c>
      <c r="Q365" s="71"/>
      <c r="R365" s="71"/>
      <c r="S365" s="3">
        <f t="shared" si="11"/>
        <v>0</v>
      </c>
    </row>
    <row r="366" spans="1:20" x14ac:dyDescent="0.3">
      <c r="A366" s="5" t="s">
        <v>421</v>
      </c>
      <c r="B366" s="5" t="s">
        <v>474</v>
      </c>
      <c r="C366" s="10">
        <v>1569821</v>
      </c>
      <c r="D366" s="5" t="s">
        <v>536</v>
      </c>
      <c r="E366" s="37" t="s">
        <v>540</v>
      </c>
      <c r="F366" s="48" t="s">
        <v>692</v>
      </c>
      <c r="G366" s="48" t="s">
        <v>692</v>
      </c>
      <c r="H366" s="48" t="s">
        <v>692</v>
      </c>
      <c r="I366" s="48" t="s">
        <v>692</v>
      </c>
      <c r="J366" s="53">
        <v>57169.39</v>
      </c>
      <c r="K366" s="59">
        <v>0</v>
      </c>
      <c r="L366" s="59">
        <v>57169.39</v>
      </c>
      <c r="M366" s="55">
        <v>48593.981500000002</v>
      </c>
      <c r="N366" s="55">
        <v>8575.4084999999977</v>
      </c>
      <c r="O366" s="52">
        <v>0</v>
      </c>
      <c r="P366" s="4">
        <f t="shared" si="10"/>
        <v>1</v>
      </c>
      <c r="Q366" s="71"/>
      <c r="R366" s="71"/>
      <c r="S366" s="3">
        <f t="shared" si="11"/>
        <v>0</v>
      </c>
    </row>
    <row r="367" spans="1:20" ht="29.55" x14ac:dyDescent="0.3">
      <c r="A367" s="5" t="s">
        <v>421</v>
      </c>
      <c r="B367" s="5" t="s">
        <v>474</v>
      </c>
      <c r="C367" s="10">
        <v>1569849</v>
      </c>
      <c r="D367" s="5" t="s">
        <v>541</v>
      </c>
      <c r="E367" s="37" t="s">
        <v>542</v>
      </c>
      <c r="F367" s="48" t="s">
        <v>692</v>
      </c>
      <c r="G367" s="48" t="s">
        <v>692</v>
      </c>
      <c r="H367" s="48" t="s">
        <v>692</v>
      </c>
      <c r="I367" s="48" t="s">
        <v>692</v>
      </c>
      <c r="J367" s="53">
        <v>239850</v>
      </c>
      <c r="K367" s="59">
        <v>35977.5</v>
      </c>
      <c r="L367" s="59">
        <v>203872.5</v>
      </c>
      <c r="M367" s="55">
        <v>203872.5</v>
      </c>
      <c r="N367" s="55">
        <v>0</v>
      </c>
      <c r="O367" s="52">
        <v>0</v>
      </c>
      <c r="P367" s="4">
        <f t="shared" si="10"/>
        <v>0.85</v>
      </c>
      <c r="Q367" s="71"/>
      <c r="R367" s="71"/>
      <c r="S367" s="3">
        <f t="shared" si="11"/>
        <v>0</v>
      </c>
    </row>
    <row r="368" spans="1:20" x14ac:dyDescent="0.3">
      <c r="A368" s="5" t="s">
        <v>421</v>
      </c>
      <c r="B368" s="5" t="s">
        <v>474</v>
      </c>
      <c r="C368" s="10">
        <v>1569849</v>
      </c>
      <c r="D368" s="5" t="s">
        <v>541</v>
      </c>
      <c r="E368" s="37" t="s">
        <v>498</v>
      </c>
      <c r="F368" s="48" t="s">
        <v>692</v>
      </c>
      <c r="G368" s="48" t="s">
        <v>692</v>
      </c>
      <c r="H368" s="48" t="s">
        <v>692</v>
      </c>
      <c r="I368" s="48" t="s">
        <v>692</v>
      </c>
      <c r="J368" s="53">
        <v>161680.79999999999</v>
      </c>
      <c r="K368" s="59">
        <v>0</v>
      </c>
      <c r="L368" s="59">
        <v>161680.79999999999</v>
      </c>
      <c r="M368" s="55">
        <v>137428.68</v>
      </c>
      <c r="N368" s="55">
        <v>24252.119999999995</v>
      </c>
      <c r="O368" s="52">
        <v>0</v>
      </c>
      <c r="P368" s="4">
        <f t="shared" si="10"/>
        <v>1</v>
      </c>
      <c r="Q368" s="71"/>
      <c r="R368" s="71"/>
      <c r="S368" s="3">
        <f t="shared" si="11"/>
        <v>0</v>
      </c>
    </row>
    <row r="369" spans="1:19" x14ac:dyDescent="0.3">
      <c r="A369" s="5" t="s">
        <v>421</v>
      </c>
      <c r="B369" s="5" t="s">
        <v>474</v>
      </c>
      <c r="C369" s="10">
        <v>1569849</v>
      </c>
      <c r="D369" s="5" t="s">
        <v>541</v>
      </c>
      <c r="E369" s="37" t="s">
        <v>543</v>
      </c>
      <c r="F369" s="9" t="s">
        <v>692</v>
      </c>
      <c r="G369" s="9" t="s">
        <v>692</v>
      </c>
      <c r="H369" s="9" t="s">
        <v>692</v>
      </c>
      <c r="I369" s="9" t="s">
        <v>692</v>
      </c>
      <c r="J369" s="53">
        <v>140466</v>
      </c>
      <c r="K369" s="59">
        <v>0</v>
      </c>
      <c r="L369" s="59">
        <v>140466</v>
      </c>
      <c r="M369" s="55">
        <v>119396.09999999999</v>
      </c>
      <c r="N369" s="55">
        <v>21069.900000000009</v>
      </c>
      <c r="O369" s="52">
        <v>0</v>
      </c>
      <c r="P369" s="4">
        <f t="shared" si="10"/>
        <v>1</v>
      </c>
      <c r="Q369" s="71"/>
      <c r="R369" s="71"/>
      <c r="S369" s="3">
        <f t="shared" si="11"/>
        <v>0</v>
      </c>
    </row>
    <row r="370" spans="1:19" x14ac:dyDescent="0.3">
      <c r="A370" s="8" t="s">
        <v>100</v>
      </c>
      <c r="B370" s="9" t="s">
        <v>474</v>
      </c>
      <c r="C370" s="5">
        <v>591611</v>
      </c>
      <c r="D370" s="9" t="s">
        <v>544</v>
      </c>
      <c r="E370" s="36" t="s">
        <v>545</v>
      </c>
      <c r="F370" s="9">
        <v>13008</v>
      </c>
      <c r="G370" s="9" t="s">
        <v>692</v>
      </c>
      <c r="H370" s="9" t="s">
        <v>692</v>
      </c>
      <c r="I370" s="9" t="s">
        <v>692</v>
      </c>
      <c r="J370" s="53">
        <v>150000</v>
      </c>
      <c r="K370" s="57">
        <v>0</v>
      </c>
      <c r="L370" s="57">
        <v>150000</v>
      </c>
      <c r="M370" s="58">
        <v>127500</v>
      </c>
      <c r="N370" s="58">
        <v>22500</v>
      </c>
      <c r="O370" s="52">
        <v>0</v>
      </c>
      <c r="P370" s="4">
        <f t="shared" si="10"/>
        <v>1</v>
      </c>
      <c r="Q370" s="71"/>
      <c r="R370" s="71"/>
      <c r="S370" s="3">
        <f t="shared" si="11"/>
        <v>0</v>
      </c>
    </row>
    <row r="371" spans="1:19" x14ac:dyDescent="0.3">
      <c r="A371" s="8" t="s">
        <v>100</v>
      </c>
      <c r="B371" s="9" t="s">
        <v>474</v>
      </c>
      <c r="C371" s="10">
        <v>1518338</v>
      </c>
      <c r="D371" s="9" t="s">
        <v>532</v>
      </c>
      <c r="E371" s="36" t="s">
        <v>546</v>
      </c>
      <c r="F371" s="9">
        <v>13008</v>
      </c>
      <c r="G371" s="9" t="s">
        <v>692</v>
      </c>
      <c r="H371" s="9" t="s">
        <v>692</v>
      </c>
      <c r="I371" s="9" t="s">
        <v>692</v>
      </c>
      <c r="J371" s="53">
        <v>128985.49</v>
      </c>
      <c r="K371" s="57">
        <v>19347.8285</v>
      </c>
      <c r="L371" s="57">
        <v>109637.6615</v>
      </c>
      <c r="M371" s="58">
        <v>109637.6615</v>
      </c>
      <c r="N371" s="55">
        <v>0</v>
      </c>
      <c r="O371" s="52">
        <v>0</v>
      </c>
      <c r="P371" s="4">
        <f t="shared" si="10"/>
        <v>0.8499999612359499</v>
      </c>
      <c r="Q371" s="71"/>
      <c r="R371" s="71"/>
      <c r="S371" s="3">
        <f t="shared" si="11"/>
        <v>0</v>
      </c>
    </row>
    <row r="372" spans="1:19" x14ac:dyDescent="0.3">
      <c r="A372" s="8" t="s">
        <v>100</v>
      </c>
      <c r="B372" s="9" t="s">
        <v>474</v>
      </c>
      <c r="C372" s="10">
        <v>1518338</v>
      </c>
      <c r="D372" s="9" t="s">
        <v>532</v>
      </c>
      <c r="E372" s="36" t="s">
        <v>547</v>
      </c>
      <c r="F372" s="9">
        <v>13008</v>
      </c>
      <c r="G372" s="9" t="s">
        <v>692</v>
      </c>
      <c r="H372" s="9" t="s">
        <v>692</v>
      </c>
      <c r="I372" s="9" t="s">
        <v>692</v>
      </c>
      <c r="J372" s="53">
        <v>21997.01</v>
      </c>
      <c r="K372" s="57">
        <v>0</v>
      </c>
      <c r="L372" s="57">
        <v>21997.01</v>
      </c>
      <c r="M372" s="58">
        <v>18697.458499999997</v>
      </c>
      <c r="N372" s="58">
        <v>3299.5515000000014</v>
      </c>
      <c r="O372" s="52">
        <v>0</v>
      </c>
      <c r="P372" s="4">
        <f t="shared" si="10"/>
        <v>1</v>
      </c>
      <c r="Q372" s="71"/>
      <c r="R372" s="71"/>
      <c r="S372" s="3">
        <f t="shared" si="11"/>
        <v>0</v>
      </c>
    </row>
    <row r="373" spans="1:19" x14ac:dyDescent="0.3">
      <c r="A373" s="8" t="s">
        <v>100</v>
      </c>
      <c r="B373" s="9" t="s">
        <v>474</v>
      </c>
      <c r="C373" s="5">
        <v>563663</v>
      </c>
      <c r="D373" s="9" t="s">
        <v>499</v>
      </c>
      <c r="E373" s="36" t="s">
        <v>548</v>
      </c>
      <c r="F373" s="49">
        <v>13008</v>
      </c>
      <c r="G373" s="49" t="s">
        <v>692</v>
      </c>
      <c r="H373" s="49" t="s">
        <v>692</v>
      </c>
      <c r="I373" s="49" t="s">
        <v>692</v>
      </c>
      <c r="J373" s="53">
        <v>161922.60999999999</v>
      </c>
      <c r="K373" s="57">
        <v>24288.411499999987</v>
      </c>
      <c r="L373" s="57">
        <v>137634.1985</v>
      </c>
      <c r="M373" s="58">
        <v>137634.1985</v>
      </c>
      <c r="N373" s="55">
        <v>0</v>
      </c>
      <c r="O373" s="52">
        <v>0</v>
      </c>
      <c r="P373" s="4">
        <f t="shared" si="10"/>
        <v>0.8499998764842045</v>
      </c>
      <c r="Q373" s="71"/>
      <c r="R373" s="71"/>
      <c r="S373" s="3">
        <f t="shared" si="11"/>
        <v>0</v>
      </c>
    </row>
    <row r="374" spans="1:19" ht="29.55" x14ac:dyDescent="0.3">
      <c r="A374" s="8" t="s">
        <v>100</v>
      </c>
      <c r="B374" s="9" t="s">
        <v>474</v>
      </c>
      <c r="C374" s="10">
        <v>1510020</v>
      </c>
      <c r="D374" s="5" t="s">
        <v>527</v>
      </c>
      <c r="E374" s="40" t="s">
        <v>528</v>
      </c>
      <c r="F374" s="9">
        <v>13008</v>
      </c>
      <c r="G374" s="9" t="s">
        <v>692</v>
      </c>
      <c r="H374" s="9" t="s">
        <v>692</v>
      </c>
      <c r="I374" s="9" t="s">
        <v>692</v>
      </c>
      <c r="J374" s="53">
        <v>110392.5</v>
      </c>
      <c r="K374" s="57">
        <v>16558.87</v>
      </c>
      <c r="L374" s="57">
        <v>93833.63</v>
      </c>
      <c r="M374" s="58">
        <v>93833.63</v>
      </c>
      <c r="N374" s="55">
        <v>0</v>
      </c>
      <c r="O374" s="52">
        <v>0</v>
      </c>
      <c r="P374" s="4">
        <f t="shared" si="10"/>
        <v>0.85000004529293205</v>
      </c>
      <c r="Q374" s="71"/>
      <c r="R374" s="71"/>
      <c r="S374" s="3">
        <f t="shared" si="11"/>
        <v>0</v>
      </c>
    </row>
    <row r="375" spans="1:19" x14ac:dyDescent="0.3">
      <c r="A375" s="8" t="s">
        <v>100</v>
      </c>
      <c r="B375" s="9" t="s">
        <v>474</v>
      </c>
      <c r="C375" s="10">
        <v>1510020</v>
      </c>
      <c r="D375" s="5" t="s">
        <v>527</v>
      </c>
      <c r="E375" s="36" t="s">
        <v>549</v>
      </c>
      <c r="F375" s="9">
        <v>13008</v>
      </c>
      <c r="G375" s="9" t="s">
        <v>692</v>
      </c>
      <c r="H375" s="9" t="s">
        <v>692</v>
      </c>
      <c r="I375" s="9" t="s">
        <v>692</v>
      </c>
      <c r="J375" s="53">
        <v>24600</v>
      </c>
      <c r="K375" s="57">
        <v>0</v>
      </c>
      <c r="L375" s="57">
        <v>24600</v>
      </c>
      <c r="M375" s="58">
        <v>20910</v>
      </c>
      <c r="N375" s="58">
        <v>3690</v>
      </c>
      <c r="O375" s="52">
        <v>0</v>
      </c>
      <c r="P375" s="4">
        <f t="shared" si="10"/>
        <v>1</v>
      </c>
      <c r="Q375" s="71"/>
      <c r="R375" s="71"/>
      <c r="S375" s="3">
        <f t="shared" si="11"/>
        <v>0</v>
      </c>
    </row>
    <row r="376" spans="1:19" x14ac:dyDescent="0.3">
      <c r="A376" s="8" t="s">
        <v>100</v>
      </c>
      <c r="B376" s="9" t="s">
        <v>474</v>
      </c>
      <c r="C376" s="10">
        <v>1510020</v>
      </c>
      <c r="D376" s="5" t="s">
        <v>527</v>
      </c>
      <c r="E376" s="36" t="s">
        <v>550</v>
      </c>
      <c r="F376" s="9">
        <v>13008</v>
      </c>
      <c r="G376" s="9" t="s">
        <v>692</v>
      </c>
      <c r="H376" s="9" t="s">
        <v>692</v>
      </c>
      <c r="I376" s="9" t="s">
        <v>692</v>
      </c>
      <c r="J376" s="53">
        <v>15006</v>
      </c>
      <c r="K376" s="57">
        <v>0</v>
      </c>
      <c r="L376" s="57">
        <v>15006</v>
      </c>
      <c r="M376" s="58">
        <v>12755.1</v>
      </c>
      <c r="N376" s="58">
        <v>2250.8999999999996</v>
      </c>
      <c r="O376" s="52">
        <v>0</v>
      </c>
      <c r="P376" s="4">
        <f t="shared" si="10"/>
        <v>1</v>
      </c>
      <c r="Q376" s="71"/>
      <c r="R376" s="71"/>
      <c r="S376" s="3">
        <f t="shared" si="11"/>
        <v>0</v>
      </c>
    </row>
    <row r="377" spans="1:19" x14ac:dyDescent="0.3">
      <c r="A377" s="8" t="s">
        <v>100</v>
      </c>
      <c r="B377" s="9" t="s">
        <v>474</v>
      </c>
      <c r="C377" s="10">
        <v>1418951</v>
      </c>
      <c r="D377" s="9" t="s">
        <v>516</v>
      </c>
      <c r="E377" s="36" t="s">
        <v>551</v>
      </c>
      <c r="F377" s="12">
        <v>13008</v>
      </c>
      <c r="G377" s="12" t="s">
        <v>692</v>
      </c>
      <c r="H377" s="12" t="s">
        <v>692</v>
      </c>
      <c r="I377" s="12" t="s">
        <v>692</v>
      </c>
      <c r="J377" s="53">
        <v>0</v>
      </c>
      <c r="K377" s="57">
        <v>0</v>
      </c>
      <c r="L377" s="57">
        <v>0</v>
      </c>
      <c r="M377" s="58">
        <v>0</v>
      </c>
      <c r="N377" s="55">
        <v>0</v>
      </c>
      <c r="O377" s="52">
        <v>0</v>
      </c>
      <c r="P377" s="4" t="e">
        <f t="shared" si="10"/>
        <v>#DIV/0!</v>
      </c>
      <c r="Q377" s="71"/>
      <c r="R377" s="71"/>
      <c r="S377" s="3">
        <f t="shared" si="11"/>
        <v>0</v>
      </c>
    </row>
    <row r="378" spans="1:19" ht="29.55" x14ac:dyDescent="0.3">
      <c r="A378" s="8" t="s">
        <v>100</v>
      </c>
      <c r="B378" s="9" t="s">
        <v>474</v>
      </c>
      <c r="C378" s="10">
        <v>1418951</v>
      </c>
      <c r="D378" s="9" t="s">
        <v>516</v>
      </c>
      <c r="E378" s="41" t="s">
        <v>604</v>
      </c>
      <c r="F378" s="9">
        <v>13008</v>
      </c>
      <c r="G378" s="9" t="s">
        <v>692</v>
      </c>
      <c r="H378" s="9" t="s">
        <v>692</v>
      </c>
      <c r="I378" s="9" t="s">
        <v>692</v>
      </c>
      <c r="J378" s="53">
        <v>168540.54</v>
      </c>
      <c r="K378" s="57">
        <v>25281.09</v>
      </c>
      <c r="L378" s="57">
        <v>143259.45000000001</v>
      </c>
      <c r="M378" s="58">
        <v>143259.45000000001</v>
      </c>
      <c r="N378" s="55">
        <v>0</v>
      </c>
      <c r="O378" s="52">
        <v>0</v>
      </c>
      <c r="P378" s="4">
        <f t="shared" si="10"/>
        <v>0.84999994660038469</v>
      </c>
      <c r="Q378" s="71"/>
      <c r="R378" s="71"/>
      <c r="S378" s="3">
        <f t="shared" si="11"/>
        <v>0</v>
      </c>
    </row>
    <row r="379" spans="1:19" x14ac:dyDescent="0.3">
      <c r="A379" s="8" t="s">
        <v>100</v>
      </c>
      <c r="B379" s="9" t="s">
        <v>474</v>
      </c>
      <c r="C379" s="10">
        <v>581511</v>
      </c>
      <c r="D379" s="9" t="s">
        <v>552</v>
      </c>
      <c r="E379" s="36" t="s">
        <v>553</v>
      </c>
      <c r="F379" s="9">
        <v>13008</v>
      </c>
      <c r="G379" s="9" t="s">
        <v>692</v>
      </c>
      <c r="H379" s="9" t="s">
        <v>692</v>
      </c>
      <c r="I379" s="9" t="s">
        <v>692</v>
      </c>
      <c r="J379" s="53">
        <v>101670.43</v>
      </c>
      <c r="K379" s="57">
        <v>0</v>
      </c>
      <c r="L379" s="57">
        <v>101670.43</v>
      </c>
      <c r="M379" s="58">
        <v>86419.865499999985</v>
      </c>
      <c r="N379" s="55">
        <v>15250.564500000008</v>
      </c>
      <c r="O379" s="52">
        <v>0</v>
      </c>
      <c r="P379" s="4">
        <f t="shared" si="10"/>
        <v>1</v>
      </c>
      <c r="Q379" s="71"/>
      <c r="R379" s="71"/>
      <c r="S379" s="3">
        <f t="shared" si="11"/>
        <v>0</v>
      </c>
    </row>
    <row r="380" spans="1:19" x14ac:dyDescent="0.3">
      <c r="A380" s="8" t="s">
        <v>100</v>
      </c>
      <c r="B380" s="9" t="s">
        <v>474</v>
      </c>
      <c r="C380" s="5">
        <v>572703</v>
      </c>
      <c r="D380" s="5" t="s">
        <v>482</v>
      </c>
      <c r="E380" s="36" t="s">
        <v>554</v>
      </c>
      <c r="F380" s="9">
        <v>13008</v>
      </c>
      <c r="G380" s="9" t="s">
        <v>692</v>
      </c>
      <c r="H380" s="9" t="s">
        <v>692</v>
      </c>
      <c r="I380" s="9" t="s">
        <v>692</v>
      </c>
      <c r="J380" s="53">
        <v>49999.5</v>
      </c>
      <c r="K380" s="57">
        <v>0</v>
      </c>
      <c r="L380" s="57">
        <v>49999.5</v>
      </c>
      <c r="M380" s="58">
        <v>42499.574999999997</v>
      </c>
      <c r="N380" s="55">
        <v>7499.9250000000029</v>
      </c>
      <c r="O380" s="52">
        <v>0</v>
      </c>
      <c r="P380" s="4">
        <f t="shared" si="10"/>
        <v>1</v>
      </c>
      <c r="Q380" s="71"/>
      <c r="R380" s="71"/>
      <c r="S380" s="3">
        <f t="shared" si="11"/>
        <v>0</v>
      </c>
    </row>
    <row r="381" spans="1:19" x14ac:dyDescent="0.3">
      <c r="A381" s="8" t="s">
        <v>100</v>
      </c>
      <c r="B381" s="9" t="s">
        <v>474</v>
      </c>
      <c r="C381" s="5">
        <v>572703</v>
      </c>
      <c r="D381" s="5" t="s">
        <v>482</v>
      </c>
      <c r="E381" s="36" t="s">
        <v>555</v>
      </c>
      <c r="F381" s="18">
        <v>13008</v>
      </c>
      <c r="G381" s="18" t="s">
        <v>692</v>
      </c>
      <c r="H381" s="18" t="s">
        <v>692</v>
      </c>
      <c r="I381" s="18" t="s">
        <v>692</v>
      </c>
      <c r="J381" s="53">
        <v>36506.400000000001</v>
      </c>
      <c r="K381" s="57">
        <v>5475.96</v>
      </c>
      <c r="L381" s="57">
        <v>31030.44</v>
      </c>
      <c r="M381" s="58">
        <v>31030.44</v>
      </c>
      <c r="N381" s="55">
        <v>0</v>
      </c>
      <c r="O381" s="52">
        <v>0</v>
      </c>
      <c r="P381" s="4">
        <f t="shared" si="10"/>
        <v>0.85</v>
      </c>
      <c r="Q381" s="71"/>
      <c r="R381" s="71"/>
      <c r="S381" s="3">
        <f t="shared" si="11"/>
        <v>0</v>
      </c>
    </row>
    <row r="382" spans="1:19" ht="29.55" x14ac:dyDescent="0.3">
      <c r="A382" s="8" t="s">
        <v>100</v>
      </c>
      <c r="B382" s="9" t="s">
        <v>474</v>
      </c>
      <c r="C382" s="5">
        <v>572703</v>
      </c>
      <c r="D382" s="5" t="s">
        <v>482</v>
      </c>
      <c r="E382" s="38" t="s">
        <v>485</v>
      </c>
      <c r="F382" s="9">
        <v>13008</v>
      </c>
      <c r="G382" s="9" t="s">
        <v>692</v>
      </c>
      <c r="H382" s="9" t="s">
        <v>692</v>
      </c>
      <c r="I382" s="9" t="s">
        <v>692</v>
      </c>
      <c r="J382" s="53">
        <v>33320</v>
      </c>
      <c r="K382" s="57">
        <v>4998</v>
      </c>
      <c r="L382" s="57">
        <v>28322</v>
      </c>
      <c r="M382" s="58">
        <v>28322</v>
      </c>
      <c r="N382" s="55">
        <v>0</v>
      </c>
      <c r="O382" s="52">
        <v>0</v>
      </c>
      <c r="P382" s="4">
        <f t="shared" si="10"/>
        <v>0.85</v>
      </c>
      <c r="Q382" s="71"/>
      <c r="R382" s="71"/>
      <c r="S382" s="3">
        <f t="shared" si="11"/>
        <v>0</v>
      </c>
    </row>
    <row r="383" spans="1:19" x14ac:dyDescent="0.3">
      <c r="A383" s="8" t="s">
        <v>100</v>
      </c>
      <c r="B383" s="9" t="s">
        <v>474</v>
      </c>
      <c r="C383" s="5">
        <v>572703</v>
      </c>
      <c r="D383" s="5" t="s">
        <v>482</v>
      </c>
      <c r="E383" s="36" t="s">
        <v>393</v>
      </c>
      <c r="F383" s="9">
        <v>13008</v>
      </c>
      <c r="G383" s="9" t="s">
        <v>692</v>
      </c>
      <c r="H383" s="9" t="s">
        <v>692</v>
      </c>
      <c r="I383" s="9" t="s">
        <v>692</v>
      </c>
      <c r="J383" s="53">
        <v>40590</v>
      </c>
      <c r="K383" s="57">
        <v>0</v>
      </c>
      <c r="L383" s="57">
        <v>40590</v>
      </c>
      <c r="M383" s="58">
        <v>34501.5</v>
      </c>
      <c r="N383" s="55">
        <v>6088.5</v>
      </c>
      <c r="O383" s="52">
        <v>0</v>
      </c>
      <c r="P383" s="4">
        <f t="shared" si="10"/>
        <v>1</v>
      </c>
      <c r="Q383" s="71"/>
      <c r="R383" s="71"/>
      <c r="S383" s="3">
        <f t="shared" si="11"/>
        <v>0</v>
      </c>
    </row>
    <row r="384" spans="1:19" x14ac:dyDescent="0.3">
      <c r="A384" s="8" t="s">
        <v>100</v>
      </c>
      <c r="B384" s="9" t="s">
        <v>474</v>
      </c>
      <c r="C384" s="10">
        <v>1569821</v>
      </c>
      <c r="D384" s="9" t="s">
        <v>536</v>
      </c>
      <c r="E384" s="36" t="s">
        <v>136</v>
      </c>
      <c r="F384" s="9">
        <v>13008</v>
      </c>
      <c r="G384" s="9" t="s">
        <v>692</v>
      </c>
      <c r="H384" s="9" t="s">
        <v>692</v>
      </c>
      <c r="I384" s="9" t="s">
        <v>692</v>
      </c>
      <c r="J384" s="53">
        <v>129010.54</v>
      </c>
      <c r="K384" s="57">
        <v>0</v>
      </c>
      <c r="L384" s="57">
        <v>129010.54</v>
      </c>
      <c r="M384" s="58">
        <v>109658.95899999999</v>
      </c>
      <c r="N384" s="55">
        <v>19351.581000000006</v>
      </c>
      <c r="O384" s="52">
        <v>0</v>
      </c>
      <c r="P384" s="4">
        <f t="shared" si="10"/>
        <v>1</v>
      </c>
      <c r="Q384" s="71"/>
      <c r="R384" s="71"/>
      <c r="S384" s="3">
        <f t="shared" si="11"/>
        <v>0</v>
      </c>
    </row>
    <row r="385" spans="1:19" x14ac:dyDescent="0.3">
      <c r="A385" s="8" t="s">
        <v>100</v>
      </c>
      <c r="B385" s="9" t="s">
        <v>474</v>
      </c>
      <c r="C385" s="10">
        <v>1569821</v>
      </c>
      <c r="D385" s="9" t="s">
        <v>536</v>
      </c>
      <c r="E385" s="36" t="s">
        <v>557</v>
      </c>
      <c r="F385" s="9">
        <v>13008</v>
      </c>
      <c r="G385" s="9" t="s">
        <v>692</v>
      </c>
      <c r="H385" s="9" t="s">
        <v>692</v>
      </c>
      <c r="I385" s="9" t="s">
        <v>692</v>
      </c>
      <c r="J385" s="53">
        <v>18160</v>
      </c>
      <c r="K385" s="57">
        <v>0</v>
      </c>
      <c r="L385" s="57">
        <v>18160</v>
      </c>
      <c r="M385" s="58">
        <v>15436</v>
      </c>
      <c r="N385" s="55">
        <v>2724</v>
      </c>
      <c r="O385" s="52">
        <v>0</v>
      </c>
      <c r="P385" s="4">
        <f t="shared" si="10"/>
        <v>1</v>
      </c>
      <c r="Q385" s="71"/>
      <c r="R385" s="71"/>
      <c r="S385" s="3">
        <f t="shared" si="11"/>
        <v>0</v>
      </c>
    </row>
    <row r="386" spans="1:19" x14ac:dyDescent="0.3">
      <c r="A386" s="8" t="s">
        <v>100</v>
      </c>
      <c r="B386" s="9" t="s">
        <v>474</v>
      </c>
      <c r="C386" s="10">
        <v>1569849</v>
      </c>
      <c r="D386" s="9" t="s">
        <v>558</v>
      </c>
      <c r="E386" s="36" t="s">
        <v>559</v>
      </c>
      <c r="F386" s="9">
        <v>13008</v>
      </c>
      <c r="G386" s="9" t="s">
        <v>692</v>
      </c>
      <c r="H386" s="9" t="s">
        <v>692</v>
      </c>
      <c r="I386" s="9" t="s">
        <v>692</v>
      </c>
      <c r="J386" s="53">
        <v>160000.86000000002</v>
      </c>
      <c r="K386" s="57">
        <v>24000.13</v>
      </c>
      <c r="L386" s="57">
        <v>136000.73000000001</v>
      </c>
      <c r="M386" s="58">
        <v>136000.73000000001</v>
      </c>
      <c r="N386" s="55">
        <v>0</v>
      </c>
      <c r="O386" s="52">
        <v>0</v>
      </c>
      <c r="P386" s="4">
        <f t="shared" si="10"/>
        <v>0.84999999375003354</v>
      </c>
      <c r="Q386" s="71"/>
      <c r="R386" s="71"/>
      <c r="S386" s="3">
        <f t="shared" si="11"/>
        <v>0</v>
      </c>
    </row>
    <row r="387" spans="1:19" x14ac:dyDescent="0.3">
      <c r="A387" s="8" t="s">
        <v>100</v>
      </c>
      <c r="B387" s="9" t="s">
        <v>474</v>
      </c>
      <c r="C387" s="10">
        <v>1569849</v>
      </c>
      <c r="D387" s="9" t="s">
        <v>558</v>
      </c>
      <c r="E387" s="36" t="s">
        <v>560</v>
      </c>
      <c r="F387" s="9">
        <v>13008</v>
      </c>
      <c r="G387" s="9" t="s">
        <v>692</v>
      </c>
      <c r="H387" s="9" t="s">
        <v>692</v>
      </c>
      <c r="I387" s="9" t="s">
        <v>692</v>
      </c>
      <c r="J387" s="53">
        <v>10000</v>
      </c>
      <c r="K387" s="57">
        <v>0</v>
      </c>
      <c r="L387" s="57">
        <v>10000</v>
      </c>
      <c r="M387" s="58">
        <v>8500</v>
      </c>
      <c r="N387" s="55">
        <v>1500</v>
      </c>
      <c r="O387" s="52">
        <v>0</v>
      </c>
      <c r="P387" s="4">
        <f t="shared" ref="P387:P450" si="12">L387/J387</f>
        <v>1</v>
      </c>
      <c r="Q387" s="71"/>
      <c r="R387" s="71"/>
      <c r="S387" s="3">
        <f t="shared" si="11"/>
        <v>0</v>
      </c>
    </row>
    <row r="388" spans="1:19" x14ac:dyDescent="0.3">
      <c r="A388" s="8" t="s">
        <v>100</v>
      </c>
      <c r="B388" s="9" t="s">
        <v>474</v>
      </c>
      <c r="C388" s="10">
        <v>631714</v>
      </c>
      <c r="D388" s="5" t="s">
        <v>497</v>
      </c>
      <c r="E388" s="36" t="s">
        <v>561</v>
      </c>
      <c r="F388" s="9">
        <v>13008</v>
      </c>
      <c r="G388" s="9" t="s">
        <v>692</v>
      </c>
      <c r="H388" s="9" t="s">
        <v>692</v>
      </c>
      <c r="I388" s="9" t="s">
        <v>692</v>
      </c>
      <c r="J388" s="53">
        <v>100900</v>
      </c>
      <c r="K388" s="57">
        <v>0</v>
      </c>
      <c r="L388" s="57">
        <v>100900</v>
      </c>
      <c r="M388" s="58">
        <v>85765</v>
      </c>
      <c r="N388" s="55">
        <v>15135</v>
      </c>
      <c r="O388" s="52">
        <v>0</v>
      </c>
      <c r="P388" s="4">
        <f t="shared" si="12"/>
        <v>1</v>
      </c>
      <c r="Q388" s="71"/>
      <c r="R388" s="71"/>
      <c r="S388" s="3">
        <f t="shared" si="11"/>
        <v>0</v>
      </c>
    </row>
    <row r="389" spans="1:19" x14ac:dyDescent="0.3">
      <c r="A389" s="8" t="s">
        <v>100</v>
      </c>
      <c r="B389" s="9" t="s">
        <v>474</v>
      </c>
      <c r="C389" s="10">
        <v>631714</v>
      </c>
      <c r="D389" s="5" t="s">
        <v>497</v>
      </c>
      <c r="E389" s="36" t="s">
        <v>560</v>
      </c>
      <c r="F389" s="12">
        <v>13008</v>
      </c>
      <c r="G389" s="12" t="s">
        <v>692</v>
      </c>
      <c r="H389" s="12" t="s">
        <v>692</v>
      </c>
      <c r="I389" s="12" t="s">
        <v>692</v>
      </c>
      <c r="J389" s="53">
        <v>25000</v>
      </c>
      <c r="K389" s="57">
        <v>0</v>
      </c>
      <c r="L389" s="57">
        <v>25000</v>
      </c>
      <c r="M389" s="58">
        <v>21250</v>
      </c>
      <c r="N389" s="55">
        <v>3750</v>
      </c>
      <c r="O389" s="52">
        <v>0</v>
      </c>
      <c r="P389" s="4">
        <f t="shared" si="12"/>
        <v>1</v>
      </c>
      <c r="Q389" s="71"/>
      <c r="R389" s="71"/>
      <c r="S389" s="3">
        <f t="shared" si="11"/>
        <v>0</v>
      </c>
    </row>
    <row r="390" spans="1:19" x14ac:dyDescent="0.3">
      <c r="A390" s="8" t="s">
        <v>100</v>
      </c>
      <c r="B390" s="9" t="s">
        <v>474</v>
      </c>
      <c r="C390" s="9">
        <v>2666402</v>
      </c>
      <c r="D390" s="5" t="s">
        <v>562</v>
      </c>
      <c r="E390" s="41" t="s">
        <v>567</v>
      </c>
      <c r="F390" s="48">
        <v>13008</v>
      </c>
      <c r="G390" s="48" t="s">
        <v>692</v>
      </c>
      <c r="H390" s="48" t="s">
        <v>692</v>
      </c>
      <c r="I390" s="48" t="s">
        <v>692</v>
      </c>
      <c r="J390" s="53">
        <v>176470.56</v>
      </c>
      <c r="K390" s="57">
        <v>26470.58</v>
      </c>
      <c r="L390" s="57">
        <v>149999.98000000001</v>
      </c>
      <c r="M390" s="58">
        <v>149999.98000000001</v>
      </c>
      <c r="N390" s="55">
        <v>0</v>
      </c>
      <c r="O390" s="52">
        <v>0</v>
      </c>
      <c r="P390" s="4">
        <f t="shared" si="12"/>
        <v>0.85000002266667041</v>
      </c>
      <c r="Q390" s="71"/>
      <c r="R390" s="71"/>
      <c r="S390" s="3">
        <f t="shared" si="11"/>
        <v>0</v>
      </c>
    </row>
    <row r="391" spans="1:19" ht="29.55" x14ac:dyDescent="0.3">
      <c r="A391" s="8" t="s">
        <v>100</v>
      </c>
      <c r="B391" s="9" t="s">
        <v>474</v>
      </c>
      <c r="C391" s="5">
        <v>490188</v>
      </c>
      <c r="D391" s="5" t="s">
        <v>493</v>
      </c>
      <c r="E391" s="37" t="s">
        <v>494</v>
      </c>
      <c r="F391" s="9">
        <v>13008</v>
      </c>
      <c r="G391" s="9" t="s">
        <v>692</v>
      </c>
      <c r="H391" s="9" t="s">
        <v>692</v>
      </c>
      <c r="I391" s="9" t="s">
        <v>692</v>
      </c>
      <c r="J391" s="53">
        <v>159081.99999999997</v>
      </c>
      <c r="K391" s="57">
        <v>23862.3</v>
      </c>
      <c r="L391" s="57">
        <v>135219.69999999998</v>
      </c>
      <c r="M391" s="58">
        <v>135219.69999999998</v>
      </c>
      <c r="N391" s="55">
        <v>0</v>
      </c>
      <c r="O391" s="52">
        <v>0</v>
      </c>
      <c r="P391" s="4">
        <f t="shared" si="12"/>
        <v>0.85000000000000009</v>
      </c>
      <c r="Q391" s="71"/>
      <c r="R391" s="71"/>
      <c r="S391" s="3">
        <f t="shared" si="11"/>
        <v>0</v>
      </c>
    </row>
    <row r="392" spans="1:19" x14ac:dyDescent="0.3">
      <c r="A392" s="8" t="s">
        <v>109</v>
      </c>
      <c r="B392" s="9" t="s">
        <v>474</v>
      </c>
      <c r="C392" s="9">
        <v>2554351</v>
      </c>
      <c r="D392" s="9" t="s">
        <v>563</v>
      </c>
      <c r="E392" s="36" t="s">
        <v>564</v>
      </c>
      <c r="F392" s="9">
        <v>13008</v>
      </c>
      <c r="G392" s="9" t="s">
        <v>692</v>
      </c>
      <c r="H392" s="9" t="s">
        <v>692</v>
      </c>
      <c r="I392" s="9" t="s">
        <v>692</v>
      </c>
      <c r="J392" s="53">
        <v>88381.76999999999</v>
      </c>
      <c r="K392" s="57">
        <v>0</v>
      </c>
      <c r="L392" s="57">
        <v>88381.76999999999</v>
      </c>
      <c r="M392" s="58">
        <v>75124.504499999995</v>
      </c>
      <c r="N392" s="55">
        <v>13257.265499999994</v>
      </c>
      <c r="O392" s="52">
        <v>0</v>
      </c>
      <c r="P392" s="4">
        <f t="shared" si="12"/>
        <v>1</v>
      </c>
      <c r="Q392" s="71"/>
      <c r="R392" s="71"/>
      <c r="S392" s="3">
        <f t="shared" si="11"/>
        <v>0</v>
      </c>
    </row>
    <row r="393" spans="1:19" x14ac:dyDescent="0.3">
      <c r="A393" s="8" t="s">
        <v>109</v>
      </c>
      <c r="B393" s="9" t="s">
        <v>474</v>
      </c>
      <c r="C393" s="9">
        <v>2554351</v>
      </c>
      <c r="D393" s="9" t="s">
        <v>563</v>
      </c>
      <c r="E393" s="36" t="s">
        <v>565</v>
      </c>
      <c r="F393" s="9">
        <v>13008</v>
      </c>
      <c r="G393" s="9" t="s">
        <v>692</v>
      </c>
      <c r="H393" s="9" t="s">
        <v>692</v>
      </c>
      <c r="I393" s="9" t="s">
        <v>692</v>
      </c>
      <c r="J393" s="53">
        <v>211430.73</v>
      </c>
      <c r="K393" s="57">
        <v>0</v>
      </c>
      <c r="L393" s="57">
        <v>211430.73</v>
      </c>
      <c r="M393" s="58">
        <v>179716.12049999999</v>
      </c>
      <c r="N393" s="55">
        <v>31714.60950000002</v>
      </c>
      <c r="O393" s="52">
        <v>0</v>
      </c>
      <c r="P393" s="4">
        <f t="shared" si="12"/>
        <v>1</v>
      </c>
      <c r="Q393" s="71"/>
      <c r="R393" s="71"/>
      <c r="S393" s="3">
        <f t="shared" si="11"/>
        <v>0</v>
      </c>
    </row>
    <row r="394" spans="1:19" x14ac:dyDescent="0.3">
      <c r="A394" s="8" t="s">
        <v>109</v>
      </c>
      <c r="B394" s="9" t="s">
        <v>474</v>
      </c>
      <c r="C394" s="9">
        <v>2666402</v>
      </c>
      <c r="D394" s="9" t="s">
        <v>566</v>
      </c>
      <c r="E394" s="36" t="s">
        <v>567</v>
      </c>
      <c r="F394" s="9">
        <v>13008</v>
      </c>
      <c r="G394" s="9" t="s">
        <v>692</v>
      </c>
      <c r="H394" s="9" t="s">
        <v>692</v>
      </c>
      <c r="I394" s="9" t="s">
        <v>692</v>
      </c>
      <c r="J394" s="53">
        <v>175767</v>
      </c>
      <c r="K394" s="57">
        <v>26365.05</v>
      </c>
      <c r="L394" s="57">
        <v>149401.95000000001</v>
      </c>
      <c r="M394" s="58">
        <v>149401.95000000001</v>
      </c>
      <c r="N394" s="55">
        <v>0</v>
      </c>
      <c r="O394" s="52">
        <v>0</v>
      </c>
      <c r="P394" s="4">
        <f t="shared" si="12"/>
        <v>0.85000000000000009</v>
      </c>
      <c r="Q394" s="71"/>
      <c r="R394" s="71"/>
      <c r="S394" s="3">
        <f t="shared" si="11"/>
        <v>0</v>
      </c>
    </row>
    <row r="395" spans="1:19" x14ac:dyDescent="0.3">
      <c r="A395" s="8" t="s">
        <v>109</v>
      </c>
      <c r="B395" s="9" t="s">
        <v>474</v>
      </c>
      <c r="C395" s="9">
        <v>2666402</v>
      </c>
      <c r="D395" s="9" t="s">
        <v>566</v>
      </c>
      <c r="E395" s="36" t="s">
        <v>568</v>
      </c>
      <c r="F395" s="9">
        <v>13008</v>
      </c>
      <c r="G395" s="9" t="s">
        <v>692</v>
      </c>
      <c r="H395" s="9" t="s">
        <v>692</v>
      </c>
      <c r="I395" s="9" t="s">
        <v>692</v>
      </c>
      <c r="J395" s="53">
        <v>83890</v>
      </c>
      <c r="K395" s="57">
        <v>12583.5</v>
      </c>
      <c r="L395" s="57">
        <v>71306.5</v>
      </c>
      <c r="M395" s="58">
        <v>71306.5</v>
      </c>
      <c r="N395" s="55">
        <v>0</v>
      </c>
      <c r="O395" s="52">
        <v>0</v>
      </c>
      <c r="P395" s="4">
        <f t="shared" si="12"/>
        <v>0.85</v>
      </c>
      <c r="Q395" s="71"/>
      <c r="R395" s="71"/>
      <c r="S395" s="3">
        <f t="shared" si="11"/>
        <v>0</v>
      </c>
    </row>
    <row r="396" spans="1:19" x14ac:dyDescent="0.3">
      <c r="A396" s="8" t="s">
        <v>109</v>
      </c>
      <c r="B396" s="9" t="s">
        <v>474</v>
      </c>
      <c r="C396" s="9">
        <v>2666402</v>
      </c>
      <c r="D396" s="9" t="s">
        <v>566</v>
      </c>
      <c r="E396" s="36" t="s">
        <v>569</v>
      </c>
      <c r="F396" s="9">
        <v>13008</v>
      </c>
      <c r="G396" s="9" t="s">
        <v>692</v>
      </c>
      <c r="H396" s="9" t="s">
        <v>692</v>
      </c>
      <c r="I396" s="9" t="s">
        <v>692</v>
      </c>
      <c r="J396" s="53">
        <v>45756</v>
      </c>
      <c r="K396" s="57">
        <v>6863.4</v>
      </c>
      <c r="L396" s="57">
        <v>38892.6</v>
      </c>
      <c r="M396" s="58">
        <v>38892.6</v>
      </c>
      <c r="N396" s="55">
        <v>0</v>
      </c>
      <c r="O396" s="52">
        <v>0</v>
      </c>
      <c r="P396" s="4">
        <f t="shared" si="12"/>
        <v>0.85</v>
      </c>
      <c r="Q396" s="71"/>
      <c r="R396" s="71"/>
      <c r="S396" s="3">
        <f t="shared" si="11"/>
        <v>0</v>
      </c>
    </row>
    <row r="397" spans="1:19" x14ac:dyDescent="0.3">
      <c r="A397" s="8" t="s">
        <v>109</v>
      </c>
      <c r="B397" s="9" t="s">
        <v>474</v>
      </c>
      <c r="C397" s="9">
        <v>2666402</v>
      </c>
      <c r="D397" s="9" t="s">
        <v>566</v>
      </c>
      <c r="E397" s="36" t="s">
        <v>570</v>
      </c>
      <c r="F397" s="9">
        <v>13008</v>
      </c>
      <c r="G397" s="9" t="s">
        <v>692</v>
      </c>
      <c r="H397" s="9" t="s">
        <v>692</v>
      </c>
      <c r="I397" s="9" t="s">
        <v>692</v>
      </c>
      <c r="J397" s="53">
        <v>98154</v>
      </c>
      <c r="K397" s="57">
        <v>0</v>
      </c>
      <c r="L397" s="57">
        <v>98154</v>
      </c>
      <c r="M397" s="58">
        <v>83430.899999999994</v>
      </c>
      <c r="N397" s="55">
        <v>14723.100000000006</v>
      </c>
      <c r="O397" s="52">
        <v>0</v>
      </c>
      <c r="P397" s="4">
        <f t="shared" si="12"/>
        <v>1</v>
      </c>
      <c r="Q397" s="71"/>
      <c r="R397" s="71"/>
      <c r="S397" s="3">
        <f t="shared" si="11"/>
        <v>0</v>
      </c>
    </row>
    <row r="398" spans="1:19" x14ac:dyDescent="0.3">
      <c r="A398" s="8" t="s">
        <v>109</v>
      </c>
      <c r="B398" s="9" t="s">
        <v>474</v>
      </c>
      <c r="C398" s="9">
        <v>2948814</v>
      </c>
      <c r="D398" s="9" t="s">
        <v>571</v>
      </c>
      <c r="E398" s="36" t="s">
        <v>572</v>
      </c>
      <c r="F398" s="9">
        <v>13008</v>
      </c>
      <c r="G398" s="9" t="s">
        <v>692</v>
      </c>
      <c r="H398" s="9" t="s">
        <v>692</v>
      </c>
      <c r="I398" s="9" t="s">
        <v>692</v>
      </c>
      <c r="J398" s="53">
        <v>131660</v>
      </c>
      <c r="K398" s="57">
        <v>0</v>
      </c>
      <c r="L398" s="57">
        <v>131660</v>
      </c>
      <c r="M398" s="58">
        <v>111911</v>
      </c>
      <c r="N398" s="55">
        <v>19749</v>
      </c>
      <c r="O398" s="52">
        <v>0</v>
      </c>
      <c r="P398" s="4">
        <f t="shared" si="12"/>
        <v>1</v>
      </c>
      <c r="Q398" s="71"/>
      <c r="R398" s="71"/>
      <c r="S398" s="3">
        <f t="shared" si="11"/>
        <v>0</v>
      </c>
    </row>
    <row r="399" spans="1:19" x14ac:dyDescent="0.3">
      <c r="A399" s="8" t="s">
        <v>109</v>
      </c>
      <c r="B399" s="9" t="s">
        <v>474</v>
      </c>
      <c r="C399" s="9">
        <v>2948814</v>
      </c>
      <c r="D399" s="9" t="s">
        <v>571</v>
      </c>
      <c r="E399" s="36" t="s">
        <v>573</v>
      </c>
      <c r="F399" s="9">
        <v>13008</v>
      </c>
      <c r="G399" s="9" t="s">
        <v>692</v>
      </c>
      <c r="H399" s="9" t="s">
        <v>692</v>
      </c>
      <c r="I399" s="9" t="s">
        <v>692</v>
      </c>
      <c r="J399" s="53">
        <v>140760</v>
      </c>
      <c r="K399" s="57">
        <v>21114</v>
      </c>
      <c r="L399" s="57">
        <v>119646</v>
      </c>
      <c r="M399" s="58">
        <v>119646</v>
      </c>
      <c r="N399" s="55">
        <v>0</v>
      </c>
      <c r="O399" s="52">
        <v>0</v>
      </c>
      <c r="P399" s="4">
        <f t="shared" si="12"/>
        <v>0.85</v>
      </c>
      <c r="Q399" s="71"/>
      <c r="R399" s="71"/>
      <c r="S399" s="3">
        <f t="shared" si="11"/>
        <v>0</v>
      </c>
    </row>
    <row r="400" spans="1:19" x14ac:dyDescent="0.3">
      <c r="A400" s="5" t="s">
        <v>7</v>
      </c>
      <c r="B400" s="5" t="s">
        <v>601</v>
      </c>
      <c r="C400" s="5">
        <v>607386</v>
      </c>
      <c r="D400" s="5" t="s">
        <v>602</v>
      </c>
      <c r="E400" s="36" t="s">
        <v>603</v>
      </c>
      <c r="F400" s="9" t="s">
        <v>692</v>
      </c>
      <c r="G400" s="9" t="s">
        <v>692</v>
      </c>
      <c r="H400" s="9" t="s">
        <v>692</v>
      </c>
      <c r="I400" s="9" t="s">
        <v>692</v>
      </c>
      <c r="J400" s="53">
        <v>289138.86</v>
      </c>
      <c r="K400" s="53">
        <v>0</v>
      </c>
      <c r="L400" s="53">
        <v>289138.86</v>
      </c>
      <c r="M400" s="54">
        <v>245768.03099999999</v>
      </c>
      <c r="N400" s="54">
        <v>43370.828999999998</v>
      </c>
      <c r="O400" s="52">
        <v>0</v>
      </c>
      <c r="P400" s="4">
        <f t="shared" si="12"/>
        <v>1</v>
      </c>
      <c r="Q400" s="71"/>
      <c r="R400" s="71"/>
      <c r="S400" s="3">
        <f t="shared" si="11"/>
        <v>0</v>
      </c>
    </row>
    <row r="401" spans="1:19" ht="29.55" x14ac:dyDescent="0.3">
      <c r="A401" s="5" t="s">
        <v>7</v>
      </c>
      <c r="B401" s="5" t="s">
        <v>601</v>
      </c>
      <c r="C401" s="5">
        <v>607386</v>
      </c>
      <c r="D401" s="5" t="s">
        <v>602</v>
      </c>
      <c r="E401" s="36" t="s">
        <v>604</v>
      </c>
      <c r="F401" s="9" t="s">
        <v>692</v>
      </c>
      <c r="G401" s="9">
        <v>3286</v>
      </c>
      <c r="H401" s="9" t="s">
        <v>697</v>
      </c>
      <c r="I401" s="9">
        <v>543758</v>
      </c>
      <c r="J401" s="53">
        <v>222280.44999999998</v>
      </c>
      <c r="K401" s="53">
        <v>33342.07</v>
      </c>
      <c r="L401" s="53">
        <v>188938.37999999998</v>
      </c>
      <c r="M401" s="54">
        <v>188938.37999999998</v>
      </c>
      <c r="N401" s="55">
        <v>0</v>
      </c>
      <c r="O401" s="52">
        <v>0</v>
      </c>
      <c r="P401" s="4">
        <f t="shared" si="12"/>
        <v>0.84999998875294691</v>
      </c>
      <c r="Q401" s="71"/>
      <c r="R401" s="71"/>
      <c r="S401" s="3">
        <f t="shared" si="11"/>
        <v>0</v>
      </c>
    </row>
    <row r="402" spans="1:19" x14ac:dyDescent="0.3">
      <c r="A402" s="5" t="s">
        <v>7</v>
      </c>
      <c r="B402" s="5" t="s">
        <v>601</v>
      </c>
      <c r="C402" s="5">
        <v>607386</v>
      </c>
      <c r="D402" s="5" t="s">
        <v>602</v>
      </c>
      <c r="E402" s="36" t="s">
        <v>605</v>
      </c>
      <c r="F402" s="5" t="s">
        <v>692</v>
      </c>
      <c r="G402" s="5" t="s">
        <v>692</v>
      </c>
      <c r="H402" s="5" t="s">
        <v>692</v>
      </c>
      <c r="I402" s="5" t="s">
        <v>692</v>
      </c>
      <c r="J402" s="53">
        <v>78111.47</v>
      </c>
      <c r="K402" s="53">
        <v>0</v>
      </c>
      <c r="L402" s="53">
        <v>78111.47</v>
      </c>
      <c r="M402" s="54">
        <v>66394.749500000005</v>
      </c>
      <c r="N402" s="54">
        <v>11716.720499999996</v>
      </c>
      <c r="O402" s="52">
        <v>0</v>
      </c>
      <c r="P402" s="4">
        <f t="shared" si="12"/>
        <v>1</v>
      </c>
      <c r="Q402" s="71"/>
      <c r="R402" s="71"/>
      <c r="S402" s="3">
        <f t="shared" si="11"/>
        <v>0</v>
      </c>
    </row>
    <row r="403" spans="1:19" x14ac:dyDescent="0.3">
      <c r="A403" s="5" t="s">
        <v>7</v>
      </c>
      <c r="B403" s="5" t="s">
        <v>601</v>
      </c>
      <c r="C403" s="5">
        <v>607386</v>
      </c>
      <c r="D403" s="5" t="s">
        <v>602</v>
      </c>
      <c r="E403" s="34" t="s">
        <v>606</v>
      </c>
      <c r="F403" s="5" t="s">
        <v>692</v>
      </c>
      <c r="G403" s="5" t="s">
        <v>692</v>
      </c>
      <c r="H403" s="5" t="s">
        <v>692</v>
      </c>
      <c r="I403" s="5" t="s">
        <v>692</v>
      </c>
      <c r="J403" s="53">
        <v>30190.28</v>
      </c>
      <c r="K403" s="53">
        <v>4528.6099999999997</v>
      </c>
      <c r="L403" s="53">
        <v>25661.67</v>
      </c>
      <c r="M403" s="55">
        <v>25661.67</v>
      </c>
      <c r="N403" s="55">
        <v>0</v>
      </c>
      <c r="O403" s="52">
        <v>0</v>
      </c>
      <c r="P403" s="4">
        <f t="shared" si="12"/>
        <v>0.84999774761943248</v>
      </c>
      <c r="Q403" s="71"/>
      <c r="R403" s="71"/>
      <c r="S403" s="3">
        <f t="shared" si="11"/>
        <v>0</v>
      </c>
    </row>
    <row r="404" spans="1:19" x14ac:dyDescent="0.3">
      <c r="A404" s="5" t="s">
        <v>7</v>
      </c>
      <c r="B404" s="5" t="s">
        <v>601</v>
      </c>
      <c r="C404" s="5">
        <v>607386</v>
      </c>
      <c r="D404" s="5" t="s">
        <v>602</v>
      </c>
      <c r="E404" s="34" t="s">
        <v>607</v>
      </c>
      <c r="F404" s="9" t="s">
        <v>692</v>
      </c>
      <c r="G404" s="9">
        <v>3286</v>
      </c>
      <c r="H404" s="9">
        <v>581793</v>
      </c>
      <c r="I404" s="9" t="s">
        <v>692</v>
      </c>
      <c r="J404" s="53">
        <v>29540.91</v>
      </c>
      <c r="K404" s="53">
        <v>4431.1399999999994</v>
      </c>
      <c r="L404" s="53">
        <v>25109.77</v>
      </c>
      <c r="M404" s="55">
        <v>25109.77</v>
      </c>
      <c r="N404" s="55">
        <v>0</v>
      </c>
      <c r="O404" s="52">
        <v>0</v>
      </c>
      <c r="P404" s="4">
        <f t="shared" si="12"/>
        <v>0.84999988152023753</v>
      </c>
      <c r="Q404" s="71"/>
      <c r="R404" s="71"/>
      <c r="S404" s="3">
        <f t="shared" si="11"/>
        <v>0</v>
      </c>
    </row>
    <row r="405" spans="1:19" x14ac:dyDescent="0.3">
      <c r="A405" s="5" t="s">
        <v>7</v>
      </c>
      <c r="B405" s="5" t="s">
        <v>601</v>
      </c>
      <c r="C405" s="10">
        <v>643893</v>
      </c>
      <c r="D405" s="5" t="s">
        <v>608</v>
      </c>
      <c r="E405" s="36" t="s">
        <v>417</v>
      </c>
      <c r="F405" s="9" t="s">
        <v>692</v>
      </c>
      <c r="G405" s="9" t="s">
        <v>692</v>
      </c>
      <c r="H405" s="9" t="s">
        <v>692</v>
      </c>
      <c r="I405" s="9" t="s">
        <v>692</v>
      </c>
      <c r="J405" s="53">
        <v>660352.07999999996</v>
      </c>
      <c r="K405" s="53">
        <v>0</v>
      </c>
      <c r="L405" s="53">
        <v>660352.07999999996</v>
      </c>
      <c r="M405" s="54">
        <v>561299.26799999992</v>
      </c>
      <c r="N405" s="54">
        <v>99052.812000000034</v>
      </c>
      <c r="O405" s="52">
        <v>0</v>
      </c>
      <c r="P405" s="4">
        <f t="shared" si="12"/>
        <v>1</v>
      </c>
      <c r="Q405" s="71"/>
      <c r="R405" s="71"/>
      <c r="S405" s="3">
        <f t="shared" si="11"/>
        <v>0</v>
      </c>
    </row>
    <row r="406" spans="1:19" x14ac:dyDescent="0.3">
      <c r="A406" s="5" t="s">
        <v>7</v>
      </c>
      <c r="B406" s="5" t="s">
        <v>601</v>
      </c>
      <c r="C406" s="10">
        <v>643893</v>
      </c>
      <c r="D406" s="5" t="s">
        <v>608</v>
      </c>
      <c r="E406" s="36" t="s">
        <v>609</v>
      </c>
      <c r="F406" s="48" t="s">
        <v>692</v>
      </c>
      <c r="G406" s="48" t="s">
        <v>692</v>
      </c>
      <c r="H406" s="48" t="s">
        <v>692</v>
      </c>
      <c r="I406" s="48" t="s">
        <v>692</v>
      </c>
      <c r="J406" s="53">
        <v>179599.7</v>
      </c>
      <c r="K406" s="53">
        <v>0</v>
      </c>
      <c r="L406" s="53">
        <v>179599.7</v>
      </c>
      <c r="M406" s="54">
        <v>152659.745</v>
      </c>
      <c r="N406" s="54">
        <v>26939.955000000016</v>
      </c>
      <c r="O406" s="52">
        <v>0</v>
      </c>
      <c r="P406" s="4">
        <f t="shared" si="12"/>
        <v>1</v>
      </c>
      <c r="Q406" s="71"/>
      <c r="R406" s="71"/>
      <c r="S406" s="3">
        <f t="shared" si="11"/>
        <v>0</v>
      </c>
    </row>
    <row r="407" spans="1:19" x14ac:dyDescent="0.3">
      <c r="A407" s="5" t="s">
        <v>7</v>
      </c>
      <c r="B407" s="5" t="s">
        <v>601</v>
      </c>
      <c r="C407" s="5">
        <v>601953</v>
      </c>
      <c r="D407" s="5" t="s">
        <v>610</v>
      </c>
      <c r="E407" s="37" t="s">
        <v>611</v>
      </c>
      <c r="F407" s="48" t="s">
        <v>692</v>
      </c>
      <c r="G407" s="48" t="s">
        <v>692</v>
      </c>
      <c r="H407" s="48" t="s">
        <v>692</v>
      </c>
      <c r="I407" s="48" t="s">
        <v>692</v>
      </c>
      <c r="J407" s="53">
        <v>725278</v>
      </c>
      <c r="K407" s="53">
        <v>0</v>
      </c>
      <c r="L407" s="56">
        <v>725278</v>
      </c>
      <c r="M407" s="55">
        <v>616486.29999999993</v>
      </c>
      <c r="N407" s="55">
        <v>108791.70000000007</v>
      </c>
      <c r="O407" s="52">
        <v>0</v>
      </c>
      <c r="P407" s="4">
        <f t="shared" si="12"/>
        <v>1</v>
      </c>
      <c r="Q407" s="71"/>
      <c r="R407" s="71"/>
      <c r="S407" s="3">
        <f t="shared" si="11"/>
        <v>0</v>
      </c>
    </row>
    <row r="408" spans="1:19" x14ac:dyDescent="0.3">
      <c r="A408" s="5" t="s">
        <v>7</v>
      </c>
      <c r="B408" s="5" t="s">
        <v>601</v>
      </c>
      <c r="C408" s="5">
        <v>601953</v>
      </c>
      <c r="D408" s="5" t="s">
        <v>610</v>
      </c>
      <c r="E408" s="37" t="s">
        <v>612</v>
      </c>
      <c r="F408" s="9" t="s">
        <v>692</v>
      </c>
      <c r="G408" s="9" t="s">
        <v>692</v>
      </c>
      <c r="H408" s="9" t="s">
        <v>692</v>
      </c>
      <c r="I408" s="9" t="s">
        <v>692</v>
      </c>
      <c r="J408" s="53">
        <v>715466.3</v>
      </c>
      <c r="K408" s="53">
        <v>0</v>
      </c>
      <c r="L408" s="53">
        <v>715466.3</v>
      </c>
      <c r="M408" s="55">
        <v>608146.35499999998</v>
      </c>
      <c r="N408" s="55">
        <v>107319.94500000007</v>
      </c>
      <c r="O408" s="52">
        <v>0</v>
      </c>
      <c r="P408" s="4">
        <f t="shared" si="12"/>
        <v>1</v>
      </c>
      <c r="Q408" s="71"/>
      <c r="R408" s="71"/>
      <c r="S408" s="3">
        <f t="shared" si="11"/>
        <v>0</v>
      </c>
    </row>
    <row r="409" spans="1:19" ht="29.55" x14ac:dyDescent="0.3">
      <c r="A409" s="5" t="s">
        <v>7</v>
      </c>
      <c r="B409" s="5" t="s">
        <v>601</v>
      </c>
      <c r="C409" s="5">
        <v>483978</v>
      </c>
      <c r="D409" s="5" t="s">
        <v>613</v>
      </c>
      <c r="E409" s="36" t="s">
        <v>614</v>
      </c>
      <c r="F409" s="9" t="s">
        <v>692</v>
      </c>
      <c r="G409" s="9" t="s">
        <v>692</v>
      </c>
      <c r="H409" s="9" t="s">
        <v>692</v>
      </c>
      <c r="I409" s="9" t="s">
        <v>692</v>
      </c>
      <c r="J409" s="53">
        <v>200478.02000000002</v>
      </c>
      <c r="K409" s="56">
        <v>0</v>
      </c>
      <c r="L409" s="56">
        <v>200478.02000000002</v>
      </c>
      <c r="M409" s="54">
        <v>170406.31700000001</v>
      </c>
      <c r="N409" s="54">
        <v>30071.703000000009</v>
      </c>
      <c r="O409" s="52">
        <v>0</v>
      </c>
      <c r="P409" s="4">
        <f t="shared" si="12"/>
        <v>1</v>
      </c>
      <c r="Q409" s="71"/>
      <c r="R409" s="71"/>
      <c r="S409" s="3">
        <f t="shared" si="11"/>
        <v>0</v>
      </c>
    </row>
    <row r="410" spans="1:19" ht="29.55" x14ac:dyDescent="0.3">
      <c r="A410" s="5" t="s">
        <v>7</v>
      </c>
      <c r="B410" s="5" t="s">
        <v>601</v>
      </c>
      <c r="C410" s="5">
        <v>483978</v>
      </c>
      <c r="D410" s="5" t="s">
        <v>613</v>
      </c>
      <c r="E410" s="36" t="s">
        <v>615</v>
      </c>
      <c r="F410" s="5" t="s">
        <v>692</v>
      </c>
      <c r="G410" s="5" t="s">
        <v>692</v>
      </c>
      <c r="H410" s="5" t="s">
        <v>692</v>
      </c>
      <c r="I410" s="5" t="s">
        <v>692</v>
      </c>
      <c r="J410" s="53">
        <v>151054.76</v>
      </c>
      <c r="K410" s="56">
        <v>22658.220000000016</v>
      </c>
      <c r="L410" s="56">
        <v>128396.54</v>
      </c>
      <c r="M410" s="54">
        <v>128396.54</v>
      </c>
      <c r="N410" s="55">
        <v>0</v>
      </c>
      <c r="O410" s="52">
        <v>0</v>
      </c>
      <c r="P410" s="4">
        <f t="shared" si="12"/>
        <v>0.84999996027930524</v>
      </c>
      <c r="Q410" s="71"/>
      <c r="R410" s="71"/>
      <c r="S410" s="3">
        <f t="shared" si="11"/>
        <v>0</v>
      </c>
    </row>
    <row r="411" spans="1:19" x14ac:dyDescent="0.3">
      <c r="A411" s="5" t="s">
        <v>7</v>
      </c>
      <c r="B411" s="5" t="s">
        <v>601</v>
      </c>
      <c r="C411" s="5">
        <v>483978</v>
      </c>
      <c r="D411" s="5" t="s">
        <v>613</v>
      </c>
      <c r="E411" s="34" t="s">
        <v>616</v>
      </c>
      <c r="F411" s="5" t="s">
        <v>692</v>
      </c>
      <c r="G411" s="5" t="s">
        <v>692</v>
      </c>
      <c r="H411" s="5" t="s">
        <v>692</v>
      </c>
      <c r="I411" s="5" t="s">
        <v>692</v>
      </c>
      <c r="J411" s="53">
        <v>56123.31</v>
      </c>
      <c r="K411" s="56">
        <v>0</v>
      </c>
      <c r="L411" s="56">
        <v>56123.31</v>
      </c>
      <c r="M411" s="54">
        <v>47704.813499999997</v>
      </c>
      <c r="N411" s="54">
        <v>8418.4965000000011</v>
      </c>
      <c r="O411" s="52">
        <v>0</v>
      </c>
      <c r="P411" s="4">
        <f t="shared" si="12"/>
        <v>1</v>
      </c>
      <c r="Q411" s="71"/>
      <c r="R411" s="71"/>
      <c r="S411" s="3">
        <f t="shared" si="11"/>
        <v>0</v>
      </c>
    </row>
    <row r="412" spans="1:19" x14ac:dyDescent="0.3">
      <c r="A412" s="5" t="s">
        <v>7</v>
      </c>
      <c r="B412" s="5" t="s">
        <v>601</v>
      </c>
      <c r="C412" s="5">
        <v>483978</v>
      </c>
      <c r="D412" s="5" t="s">
        <v>613</v>
      </c>
      <c r="E412" s="34" t="s">
        <v>49</v>
      </c>
      <c r="F412" s="48" t="s">
        <v>692</v>
      </c>
      <c r="G412" s="48" t="s">
        <v>692</v>
      </c>
      <c r="H412" s="48" t="s">
        <v>692</v>
      </c>
      <c r="I412" s="48" t="s">
        <v>692</v>
      </c>
      <c r="J412" s="53">
        <v>56123.92</v>
      </c>
      <c r="K412" s="56">
        <v>0</v>
      </c>
      <c r="L412" s="56">
        <v>56123.92</v>
      </c>
      <c r="M412" s="54">
        <v>47705.331999999995</v>
      </c>
      <c r="N412" s="54">
        <v>8418.5880000000034</v>
      </c>
      <c r="O412" s="52">
        <v>0</v>
      </c>
      <c r="P412" s="4">
        <f t="shared" si="12"/>
        <v>1</v>
      </c>
      <c r="Q412" s="71"/>
      <c r="R412" s="71"/>
      <c r="S412" s="3">
        <f t="shared" si="11"/>
        <v>0</v>
      </c>
    </row>
    <row r="413" spans="1:19" x14ac:dyDescent="0.3">
      <c r="A413" s="5" t="s">
        <v>7</v>
      </c>
      <c r="B413" s="5" t="s">
        <v>601</v>
      </c>
      <c r="C413" s="5">
        <v>483978</v>
      </c>
      <c r="D413" s="5" t="s">
        <v>613</v>
      </c>
      <c r="E413" s="37" t="s">
        <v>617</v>
      </c>
      <c r="F413" s="48" t="s">
        <v>692</v>
      </c>
      <c r="G413" s="48" t="s">
        <v>692</v>
      </c>
      <c r="H413" s="48" t="s">
        <v>692</v>
      </c>
      <c r="I413" s="48" t="s">
        <v>692</v>
      </c>
      <c r="J413" s="53">
        <v>26456.5</v>
      </c>
      <c r="K413" s="56">
        <v>0</v>
      </c>
      <c r="L413" s="56">
        <v>26456.5</v>
      </c>
      <c r="M413" s="55">
        <v>22488.024999999998</v>
      </c>
      <c r="N413" s="55">
        <v>3968.4750000000022</v>
      </c>
      <c r="O413" s="52">
        <v>0</v>
      </c>
      <c r="P413" s="4">
        <f t="shared" si="12"/>
        <v>1</v>
      </c>
      <c r="Q413" s="71"/>
      <c r="R413" s="71"/>
      <c r="S413" s="3">
        <f t="shared" si="11"/>
        <v>0</v>
      </c>
    </row>
    <row r="414" spans="1:19" x14ac:dyDescent="0.3">
      <c r="A414" s="5" t="s">
        <v>7</v>
      </c>
      <c r="B414" s="5" t="s">
        <v>601</v>
      </c>
      <c r="C414" s="5">
        <v>475062</v>
      </c>
      <c r="D414" s="5" t="s">
        <v>618</v>
      </c>
      <c r="E414" s="37" t="s">
        <v>611</v>
      </c>
      <c r="F414" s="18" t="s">
        <v>692</v>
      </c>
      <c r="G414" s="18" t="s">
        <v>692</v>
      </c>
      <c r="H414" s="18" t="s">
        <v>692</v>
      </c>
      <c r="I414" s="18" t="s">
        <v>692</v>
      </c>
      <c r="J414" s="53">
        <v>570000.01</v>
      </c>
      <c r="K414" s="56">
        <v>0</v>
      </c>
      <c r="L414" s="56">
        <f>J414</f>
        <v>570000.01</v>
      </c>
      <c r="M414" s="55">
        <f>L414*0.85</f>
        <v>484500.0085</v>
      </c>
      <c r="N414" s="55">
        <f>L414-M414</f>
        <v>85500.001500000013</v>
      </c>
      <c r="O414" s="52">
        <v>0</v>
      </c>
      <c r="P414" s="4">
        <f t="shared" si="12"/>
        <v>1</v>
      </c>
      <c r="Q414" s="71"/>
      <c r="R414" s="71"/>
      <c r="S414" s="3">
        <f t="shared" si="11"/>
        <v>0</v>
      </c>
    </row>
    <row r="415" spans="1:19" x14ac:dyDescent="0.3">
      <c r="A415" s="5" t="s">
        <v>7</v>
      </c>
      <c r="B415" s="5" t="s">
        <v>601</v>
      </c>
      <c r="C415" s="5">
        <v>475062</v>
      </c>
      <c r="D415" s="5" t="s">
        <v>618</v>
      </c>
      <c r="E415" s="38" t="s">
        <v>50</v>
      </c>
      <c r="F415" s="48" t="s">
        <v>692</v>
      </c>
      <c r="G415" s="48" t="s">
        <v>692</v>
      </c>
      <c r="H415" s="48" t="s">
        <v>692</v>
      </c>
      <c r="I415" s="48" t="s">
        <v>692</v>
      </c>
      <c r="J415" s="53">
        <v>127503.49</v>
      </c>
      <c r="K415" s="56">
        <v>0</v>
      </c>
      <c r="L415" s="53">
        <v>127503.49</v>
      </c>
      <c r="M415" s="55">
        <f>L415*0.85</f>
        <v>108377.96649999999</v>
      </c>
      <c r="N415" s="55">
        <f>L415-M415</f>
        <v>19125.52350000001</v>
      </c>
      <c r="O415" s="52">
        <v>0</v>
      </c>
      <c r="P415" s="4">
        <f t="shared" si="12"/>
        <v>1</v>
      </c>
      <c r="Q415" s="71"/>
      <c r="R415" s="71"/>
      <c r="S415" s="3">
        <f t="shared" si="11"/>
        <v>0</v>
      </c>
    </row>
    <row r="416" spans="1:19" x14ac:dyDescent="0.3">
      <c r="A416" s="5" t="s">
        <v>7</v>
      </c>
      <c r="B416" s="5" t="s">
        <v>601</v>
      </c>
      <c r="C416" s="5">
        <v>475062</v>
      </c>
      <c r="D416" s="5" t="s">
        <v>618</v>
      </c>
      <c r="E416" s="37" t="s">
        <v>619</v>
      </c>
      <c r="F416" s="48" t="s">
        <v>692</v>
      </c>
      <c r="G416" s="48" t="s">
        <v>692</v>
      </c>
      <c r="H416" s="48" t="s">
        <v>692</v>
      </c>
      <c r="I416" s="48" t="s">
        <v>692</v>
      </c>
      <c r="J416" s="53">
        <v>218816.51</v>
      </c>
      <c r="K416" s="56">
        <v>0</v>
      </c>
      <c r="L416" s="56">
        <v>218816.51</v>
      </c>
      <c r="M416" s="55">
        <v>185994.03349999999</v>
      </c>
      <c r="N416" s="55">
        <v>32822.476500000019</v>
      </c>
      <c r="O416" s="52">
        <v>0</v>
      </c>
      <c r="P416" s="4">
        <f t="shared" si="12"/>
        <v>1</v>
      </c>
      <c r="Q416" s="71"/>
      <c r="R416" s="71"/>
      <c r="S416" s="3">
        <f t="shared" si="11"/>
        <v>0</v>
      </c>
    </row>
    <row r="417" spans="1:19" x14ac:dyDescent="0.3">
      <c r="A417" s="5" t="s">
        <v>7</v>
      </c>
      <c r="B417" s="5" t="s">
        <v>601</v>
      </c>
      <c r="C417" s="5">
        <v>475062</v>
      </c>
      <c r="D417" s="5" t="s">
        <v>618</v>
      </c>
      <c r="E417" s="37" t="s">
        <v>612</v>
      </c>
      <c r="F417" s="48" t="s">
        <v>692</v>
      </c>
      <c r="G417" s="48" t="s">
        <v>692</v>
      </c>
      <c r="H417" s="48" t="s">
        <v>692</v>
      </c>
      <c r="I417" s="48" t="s">
        <v>692</v>
      </c>
      <c r="J417" s="53">
        <v>415000</v>
      </c>
      <c r="K417" s="56">
        <v>0</v>
      </c>
      <c r="L417" s="56">
        <f>J417</f>
        <v>415000</v>
      </c>
      <c r="M417" s="55">
        <f>L417*0.85</f>
        <v>352750</v>
      </c>
      <c r="N417" s="55">
        <f>L417-M417</f>
        <v>62250</v>
      </c>
      <c r="O417" s="52">
        <v>0</v>
      </c>
      <c r="P417" s="4">
        <f t="shared" si="12"/>
        <v>1</v>
      </c>
      <c r="Q417" s="71"/>
      <c r="R417" s="71"/>
      <c r="S417" s="3">
        <f t="shared" si="11"/>
        <v>0</v>
      </c>
    </row>
    <row r="418" spans="1:19" x14ac:dyDescent="0.3">
      <c r="A418" s="5" t="s">
        <v>7</v>
      </c>
      <c r="B418" s="5" t="s">
        <v>601</v>
      </c>
      <c r="C418" s="5">
        <v>475062</v>
      </c>
      <c r="D418" s="5" t="s">
        <v>618</v>
      </c>
      <c r="E418" s="37" t="s">
        <v>620</v>
      </c>
      <c r="F418" s="48" t="s">
        <v>692</v>
      </c>
      <c r="G418" s="48" t="s">
        <v>692</v>
      </c>
      <c r="H418" s="48" t="s">
        <v>692</v>
      </c>
      <c r="I418" s="48" t="s">
        <v>692</v>
      </c>
      <c r="J418" s="53">
        <v>102090</v>
      </c>
      <c r="K418" s="56">
        <v>0</v>
      </c>
      <c r="L418" s="56">
        <v>102090</v>
      </c>
      <c r="M418" s="55">
        <f>L418*0.85</f>
        <v>86776.5</v>
      </c>
      <c r="N418" s="55">
        <f>L418-M418</f>
        <v>15313.5</v>
      </c>
      <c r="O418" s="52">
        <v>0</v>
      </c>
      <c r="P418" s="4">
        <f t="shared" si="12"/>
        <v>1</v>
      </c>
      <c r="Q418" s="71"/>
      <c r="R418" s="71"/>
      <c r="S418" s="3">
        <f t="shared" si="11"/>
        <v>0</v>
      </c>
    </row>
    <row r="419" spans="1:19" x14ac:dyDescent="0.3">
      <c r="A419" s="5" t="s">
        <v>7</v>
      </c>
      <c r="B419" s="5" t="s">
        <v>601</v>
      </c>
      <c r="C419" s="5">
        <v>570702</v>
      </c>
      <c r="D419" s="5" t="s">
        <v>621</v>
      </c>
      <c r="E419" s="37" t="s">
        <v>622</v>
      </c>
      <c r="F419" s="48" t="s">
        <v>692</v>
      </c>
      <c r="G419" s="48" t="s">
        <v>692</v>
      </c>
      <c r="H419" s="48" t="s">
        <v>692</v>
      </c>
      <c r="I419" s="48" t="s">
        <v>692</v>
      </c>
      <c r="J419" s="53">
        <v>401319.86</v>
      </c>
      <c r="K419" s="56">
        <v>0</v>
      </c>
      <c r="L419" s="56">
        <v>401319.86</v>
      </c>
      <c r="M419" s="55">
        <v>341121.88099999999</v>
      </c>
      <c r="N419" s="55">
        <v>60197.978999999992</v>
      </c>
      <c r="O419" s="52">
        <v>0</v>
      </c>
      <c r="P419" s="4">
        <f t="shared" si="12"/>
        <v>1</v>
      </c>
      <c r="Q419" s="71"/>
      <c r="R419" s="71"/>
      <c r="S419" s="3">
        <f t="shared" si="11"/>
        <v>0</v>
      </c>
    </row>
    <row r="420" spans="1:19" x14ac:dyDescent="0.3">
      <c r="A420" s="5" t="s">
        <v>7</v>
      </c>
      <c r="B420" s="5" t="s">
        <v>601</v>
      </c>
      <c r="C420" s="5">
        <v>570702</v>
      </c>
      <c r="D420" s="5" t="s">
        <v>621</v>
      </c>
      <c r="E420" s="37" t="s">
        <v>623</v>
      </c>
      <c r="F420" s="12" t="s">
        <v>692</v>
      </c>
      <c r="G420" s="12">
        <v>3286</v>
      </c>
      <c r="H420" s="12">
        <v>581794</v>
      </c>
      <c r="I420" s="12" t="s">
        <v>692</v>
      </c>
      <c r="J420" s="53">
        <v>49323</v>
      </c>
      <c r="K420" s="56">
        <v>7398.4499999999971</v>
      </c>
      <c r="L420" s="56">
        <v>41924.550000000003</v>
      </c>
      <c r="M420" s="55">
        <v>41924.550000000003</v>
      </c>
      <c r="N420" s="55">
        <v>0</v>
      </c>
      <c r="O420" s="52">
        <v>0</v>
      </c>
      <c r="P420" s="4">
        <f t="shared" si="12"/>
        <v>0.85000000000000009</v>
      </c>
      <c r="Q420" s="71"/>
      <c r="R420" s="71"/>
      <c r="S420" s="3">
        <f t="shared" si="11"/>
        <v>0</v>
      </c>
    </row>
    <row r="421" spans="1:19" ht="29.55" x14ac:dyDescent="0.3">
      <c r="A421" s="5" t="s">
        <v>7</v>
      </c>
      <c r="B421" s="5" t="s">
        <v>601</v>
      </c>
      <c r="C421" s="5">
        <v>570702</v>
      </c>
      <c r="D421" s="5" t="s">
        <v>621</v>
      </c>
      <c r="E421" s="41" t="s">
        <v>641</v>
      </c>
      <c r="F421" s="48" t="s">
        <v>692</v>
      </c>
      <c r="G421" s="48">
        <v>3286</v>
      </c>
      <c r="H421" s="48" t="s">
        <v>698</v>
      </c>
      <c r="I421" s="48" t="s">
        <v>692</v>
      </c>
      <c r="J421" s="53">
        <v>171123</v>
      </c>
      <c r="K421" s="56">
        <v>25688.45</v>
      </c>
      <c r="L421" s="56">
        <v>145434.54999999999</v>
      </c>
      <c r="M421" s="55">
        <v>145434.54999999999</v>
      </c>
      <c r="N421" s="55">
        <v>0</v>
      </c>
      <c r="O421" s="52">
        <v>0</v>
      </c>
      <c r="P421" s="4">
        <f t="shared" si="12"/>
        <v>0.84988312500365226</v>
      </c>
      <c r="Q421" s="71"/>
      <c r="R421" s="71"/>
      <c r="S421" s="3">
        <f t="shared" si="11"/>
        <v>0</v>
      </c>
    </row>
    <row r="422" spans="1:19" x14ac:dyDescent="0.3">
      <c r="A422" s="5" t="s">
        <v>7</v>
      </c>
      <c r="B422" s="5" t="s">
        <v>601</v>
      </c>
      <c r="C422" s="5">
        <v>570702</v>
      </c>
      <c r="D422" s="5" t="s">
        <v>621</v>
      </c>
      <c r="E422" s="37" t="s">
        <v>624</v>
      </c>
      <c r="F422" s="48" t="s">
        <v>692</v>
      </c>
      <c r="G422" s="48" t="s">
        <v>692</v>
      </c>
      <c r="H422" s="48" t="s">
        <v>692</v>
      </c>
      <c r="I422" s="48" t="s">
        <v>692</v>
      </c>
      <c r="J422" s="53">
        <v>108678.01</v>
      </c>
      <c r="K422" s="56">
        <v>0</v>
      </c>
      <c r="L422" s="56">
        <v>108678.01</v>
      </c>
      <c r="M422" s="55">
        <v>92376.308499999999</v>
      </c>
      <c r="N422" s="55">
        <v>16301.701499999996</v>
      </c>
      <c r="O422" s="52">
        <v>0</v>
      </c>
      <c r="P422" s="4">
        <f t="shared" si="12"/>
        <v>1</v>
      </c>
      <c r="Q422" s="71"/>
      <c r="R422" s="71"/>
      <c r="S422" s="3">
        <f t="shared" si="11"/>
        <v>0</v>
      </c>
    </row>
    <row r="423" spans="1:19" x14ac:dyDescent="0.3">
      <c r="A423" s="5" t="s">
        <v>7</v>
      </c>
      <c r="B423" s="5" t="s">
        <v>601</v>
      </c>
      <c r="C423" s="5">
        <v>570702</v>
      </c>
      <c r="D423" s="5" t="s">
        <v>621</v>
      </c>
      <c r="E423" s="37" t="s">
        <v>67</v>
      </c>
      <c r="F423" s="48" t="s">
        <v>692</v>
      </c>
      <c r="G423" s="48" t="s">
        <v>692</v>
      </c>
      <c r="H423" s="48" t="s">
        <v>692</v>
      </c>
      <c r="I423" s="48" t="s">
        <v>692</v>
      </c>
      <c r="J423" s="53">
        <v>70204.39</v>
      </c>
      <c r="K423" s="56">
        <v>0</v>
      </c>
      <c r="L423" s="56">
        <v>70204.39</v>
      </c>
      <c r="M423" s="55">
        <v>59673.731499999994</v>
      </c>
      <c r="N423" s="55">
        <v>10530.658500000005</v>
      </c>
      <c r="O423" s="52">
        <v>0</v>
      </c>
      <c r="P423" s="4">
        <f t="shared" si="12"/>
        <v>1</v>
      </c>
      <c r="Q423" s="71"/>
      <c r="R423" s="71"/>
      <c r="S423" s="3">
        <f t="shared" si="11"/>
        <v>0</v>
      </c>
    </row>
    <row r="424" spans="1:19" x14ac:dyDescent="0.3">
      <c r="A424" s="5" t="s">
        <v>7</v>
      </c>
      <c r="B424" s="5" t="s">
        <v>601</v>
      </c>
      <c r="C424" s="5">
        <v>570702</v>
      </c>
      <c r="D424" s="5" t="s">
        <v>621</v>
      </c>
      <c r="E424" s="37" t="s">
        <v>625</v>
      </c>
      <c r="F424" s="48" t="s">
        <v>692</v>
      </c>
      <c r="G424" s="48" t="s">
        <v>692</v>
      </c>
      <c r="H424" s="48" t="s">
        <v>692</v>
      </c>
      <c r="I424" s="48" t="s">
        <v>692</v>
      </c>
      <c r="J424" s="53">
        <v>54226.42</v>
      </c>
      <c r="K424" s="56">
        <v>0</v>
      </c>
      <c r="L424" s="56">
        <v>54226.42</v>
      </c>
      <c r="M424" s="55">
        <v>46092.456999999995</v>
      </c>
      <c r="N424" s="55">
        <v>8133.9630000000034</v>
      </c>
      <c r="O424" s="52">
        <v>0</v>
      </c>
      <c r="P424" s="4">
        <f t="shared" si="12"/>
        <v>1</v>
      </c>
      <c r="Q424" s="71"/>
      <c r="R424" s="71"/>
      <c r="S424" s="3">
        <f t="shared" si="11"/>
        <v>0</v>
      </c>
    </row>
    <row r="425" spans="1:19" ht="44.35" x14ac:dyDescent="0.3">
      <c r="A425" s="5" t="s">
        <v>7</v>
      </c>
      <c r="B425" s="5" t="s">
        <v>601</v>
      </c>
      <c r="C425" s="5">
        <v>570702</v>
      </c>
      <c r="D425" s="5" t="s">
        <v>621</v>
      </c>
      <c r="E425" s="37" t="s">
        <v>626</v>
      </c>
      <c r="F425" s="48" t="s">
        <v>692</v>
      </c>
      <c r="G425" s="48" t="s">
        <v>692</v>
      </c>
      <c r="H425" s="48" t="s">
        <v>692</v>
      </c>
      <c r="I425" s="48" t="s">
        <v>692</v>
      </c>
      <c r="J425" s="53">
        <v>215094.69999999998</v>
      </c>
      <c r="K425" s="56">
        <v>0</v>
      </c>
      <c r="L425" s="56">
        <v>215094.69999999998</v>
      </c>
      <c r="M425" s="55">
        <v>182830.49499999997</v>
      </c>
      <c r="N425" s="55">
        <v>32264.205000000016</v>
      </c>
      <c r="O425" s="52">
        <v>0</v>
      </c>
      <c r="P425" s="4">
        <f t="shared" si="12"/>
        <v>1</v>
      </c>
      <c r="Q425" s="71"/>
      <c r="R425" s="71"/>
      <c r="S425" s="3">
        <f t="shared" si="11"/>
        <v>0</v>
      </c>
    </row>
    <row r="426" spans="1:19" x14ac:dyDescent="0.3">
      <c r="A426" s="5" t="s">
        <v>7</v>
      </c>
      <c r="B426" s="5" t="s">
        <v>601</v>
      </c>
      <c r="C426" s="5">
        <v>523544</v>
      </c>
      <c r="D426" s="5" t="s">
        <v>627</v>
      </c>
      <c r="E426" s="37" t="s">
        <v>612</v>
      </c>
      <c r="F426" s="8" t="s">
        <v>692</v>
      </c>
      <c r="G426" s="8" t="s">
        <v>692</v>
      </c>
      <c r="H426" s="8" t="s">
        <v>692</v>
      </c>
      <c r="I426" s="8" t="s">
        <v>692</v>
      </c>
      <c r="J426" s="53">
        <v>488000</v>
      </c>
      <c r="K426" s="56">
        <v>0</v>
      </c>
      <c r="L426" s="56">
        <v>488000</v>
      </c>
      <c r="M426" s="55">
        <v>414800</v>
      </c>
      <c r="N426" s="55">
        <v>73200</v>
      </c>
      <c r="O426" s="52">
        <v>0</v>
      </c>
      <c r="P426" s="4">
        <f t="shared" si="12"/>
        <v>1</v>
      </c>
      <c r="Q426" s="71"/>
      <c r="R426" s="71"/>
      <c r="S426" s="3">
        <f t="shared" si="11"/>
        <v>0</v>
      </c>
    </row>
    <row r="427" spans="1:19" x14ac:dyDescent="0.3">
      <c r="A427" s="5" t="s">
        <v>7</v>
      </c>
      <c r="B427" s="5" t="s">
        <v>601</v>
      </c>
      <c r="C427" s="5">
        <v>523544</v>
      </c>
      <c r="D427" s="5" t="s">
        <v>627</v>
      </c>
      <c r="E427" s="35" t="s">
        <v>223</v>
      </c>
      <c r="F427" s="48" t="s">
        <v>692</v>
      </c>
      <c r="G427" s="48" t="s">
        <v>692</v>
      </c>
      <c r="H427" s="48" t="s">
        <v>692</v>
      </c>
      <c r="I427" s="48" t="s">
        <v>692</v>
      </c>
      <c r="J427" s="53">
        <v>320000</v>
      </c>
      <c r="K427" s="56">
        <v>0</v>
      </c>
      <c r="L427" s="56">
        <v>320000</v>
      </c>
      <c r="M427" s="55">
        <v>272000</v>
      </c>
      <c r="N427" s="55">
        <v>48000</v>
      </c>
      <c r="O427" s="52">
        <v>0</v>
      </c>
      <c r="P427" s="4">
        <f t="shared" si="12"/>
        <v>1</v>
      </c>
      <c r="Q427" s="71"/>
      <c r="R427" s="71"/>
      <c r="S427" s="3">
        <f t="shared" ref="S427:S439" si="13">R427*0.85</f>
        <v>0</v>
      </c>
    </row>
    <row r="428" spans="1:19" x14ac:dyDescent="0.3">
      <c r="A428" s="5" t="s">
        <v>7</v>
      </c>
      <c r="B428" s="5" t="s">
        <v>601</v>
      </c>
      <c r="C428" s="5">
        <v>523544</v>
      </c>
      <c r="D428" s="5" t="s">
        <v>627</v>
      </c>
      <c r="E428" s="37" t="s">
        <v>628</v>
      </c>
      <c r="F428" s="18" t="s">
        <v>692</v>
      </c>
      <c r="G428" s="18" t="s">
        <v>692</v>
      </c>
      <c r="H428" s="18" t="s">
        <v>692</v>
      </c>
      <c r="I428" s="18" t="s">
        <v>692</v>
      </c>
      <c r="J428" s="53">
        <v>217710</v>
      </c>
      <c r="K428" s="56">
        <v>0</v>
      </c>
      <c r="L428" s="56">
        <v>217710</v>
      </c>
      <c r="M428" s="55">
        <v>185053.5</v>
      </c>
      <c r="N428" s="55">
        <v>32656.5</v>
      </c>
      <c r="O428" s="52">
        <v>0</v>
      </c>
      <c r="P428" s="4">
        <f t="shared" si="12"/>
        <v>1</v>
      </c>
      <c r="Q428" s="71"/>
      <c r="R428" s="71"/>
      <c r="S428" s="3">
        <f t="shared" si="13"/>
        <v>0</v>
      </c>
    </row>
    <row r="429" spans="1:19" x14ac:dyDescent="0.3">
      <c r="A429" s="5" t="s">
        <v>7</v>
      </c>
      <c r="B429" s="5" t="s">
        <v>601</v>
      </c>
      <c r="C429" s="5">
        <v>523544</v>
      </c>
      <c r="D429" s="5" t="s">
        <v>627</v>
      </c>
      <c r="E429" s="38" t="s">
        <v>50</v>
      </c>
      <c r="F429" s="8" t="s">
        <v>692</v>
      </c>
      <c r="G429" s="8" t="s">
        <v>692</v>
      </c>
      <c r="H429" s="8" t="s">
        <v>692</v>
      </c>
      <c r="I429" s="8" t="s">
        <v>692</v>
      </c>
      <c r="J429" s="53">
        <v>120000</v>
      </c>
      <c r="K429" s="56">
        <v>0</v>
      </c>
      <c r="L429" s="56">
        <v>120000</v>
      </c>
      <c r="M429" s="55">
        <v>102000</v>
      </c>
      <c r="N429" s="55">
        <v>18000</v>
      </c>
      <c r="O429" s="52">
        <v>0</v>
      </c>
      <c r="P429" s="4">
        <f t="shared" si="12"/>
        <v>1</v>
      </c>
      <c r="Q429" s="71"/>
      <c r="R429" s="71"/>
      <c r="S429" s="3">
        <f t="shared" si="13"/>
        <v>0</v>
      </c>
    </row>
    <row r="430" spans="1:19" x14ac:dyDescent="0.3">
      <c r="A430" s="8" t="s">
        <v>421</v>
      </c>
      <c r="B430" s="5" t="s">
        <v>601</v>
      </c>
      <c r="C430" s="8">
        <v>1503582</v>
      </c>
      <c r="D430" s="8" t="s">
        <v>629</v>
      </c>
      <c r="E430" s="35" t="s">
        <v>537</v>
      </c>
      <c r="F430" s="8" t="s">
        <v>692</v>
      </c>
      <c r="G430" s="8" t="s">
        <v>692</v>
      </c>
      <c r="H430" s="8" t="s">
        <v>692</v>
      </c>
      <c r="I430" s="8" t="s">
        <v>692</v>
      </c>
      <c r="J430" s="53">
        <v>303640.34000000003</v>
      </c>
      <c r="K430" s="59">
        <v>0</v>
      </c>
      <c r="L430" s="59">
        <v>303640.34000000003</v>
      </c>
      <c r="M430" s="58">
        <v>258094.28900000002</v>
      </c>
      <c r="N430" s="58">
        <v>45546.051000000007</v>
      </c>
      <c r="O430" s="52">
        <v>0</v>
      </c>
      <c r="P430" s="4">
        <f t="shared" si="12"/>
        <v>1</v>
      </c>
      <c r="Q430" s="71"/>
      <c r="R430" s="71"/>
      <c r="S430" s="3">
        <f t="shared" si="13"/>
        <v>0</v>
      </c>
    </row>
    <row r="431" spans="1:19" x14ac:dyDescent="0.3">
      <c r="A431" s="8" t="s">
        <v>421</v>
      </c>
      <c r="B431" s="5" t="s">
        <v>601</v>
      </c>
      <c r="C431" s="8">
        <v>1503582</v>
      </c>
      <c r="D431" s="8" t="s">
        <v>629</v>
      </c>
      <c r="E431" s="35" t="s">
        <v>630</v>
      </c>
      <c r="F431" s="8" t="s">
        <v>692</v>
      </c>
      <c r="G431" s="8" t="s">
        <v>692</v>
      </c>
      <c r="H431" s="8" t="s">
        <v>692</v>
      </c>
      <c r="I431" s="8" t="s">
        <v>692</v>
      </c>
      <c r="J431" s="53">
        <v>136382.39999999999</v>
      </c>
      <c r="K431" s="59">
        <v>20457.36</v>
      </c>
      <c r="L431" s="59">
        <v>115925.04</v>
      </c>
      <c r="M431" s="58">
        <v>115925.04</v>
      </c>
      <c r="N431" s="55">
        <v>0</v>
      </c>
      <c r="O431" s="52">
        <v>0</v>
      </c>
      <c r="P431" s="4">
        <f t="shared" si="12"/>
        <v>0.85</v>
      </c>
      <c r="Q431" s="71"/>
      <c r="R431" s="71"/>
      <c r="S431" s="3">
        <f t="shared" si="13"/>
        <v>0</v>
      </c>
    </row>
    <row r="432" spans="1:19" x14ac:dyDescent="0.3">
      <c r="A432" s="8" t="s">
        <v>421</v>
      </c>
      <c r="B432" s="5" t="s">
        <v>601</v>
      </c>
      <c r="C432" s="8">
        <v>1503582</v>
      </c>
      <c r="D432" s="8" t="s">
        <v>629</v>
      </c>
      <c r="E432" s="35" t="s">
        <v>631</v>
      </c>
      <c r="F432" s="8" t="s">
        <v>692</v>
      </c>
      <c r="G432" s="8" t="s">
        <v>692</v>
      </c>
      <c r="H432" s="8" t="s">
        <v>692</v>
      </c>
      <c r="I432" s="8" t="s">
        <v>692</v>
      </c>
      <c r="J432" s="53">
        <v>101040.4</v>
      </c>
      <c r="K432" s="60">
        <v>0</v>
      </c>
      <c r="L432" s="59">
        <v>101040.4</v>
      </c>
      <c r="M432" s="58">
        <v>85884.34</v>
      </c>
      <c r="N432" s="58">
        <v>15156.059999999998</v>
      </c>
      <c r="O432" s="52">
        <v>0</v>
      </c>
      <c r="P432" s="4">
        <f t="shared" si="12"/>
        <v>1</v>
      </c>
      <c r="Q432" s="71"/>
      <c r="R432" s="71"/>
      <c r="S432" s="3">
        <f t="shared" si="13"/>
        <v>0</v>
      </c>
    </row>
    <row r="433" spans="1:20" x14ac:dyDescent="0.3">
      <c r="A433" s="8" t="s">
        <v>421</v>
      </c>
      <c r="B433" s="5" t="s">
        <v>601</v>
      </c>
      <c r="C433" s="8">
        <v>1529833</v>
      </c>
      <c r="D433" s="8" t="s">
        <v>632</v>
      </c>
      <c r="E433" s="35" t="s">
        <v>633</v>
      </c>
      <c r="F433" s="8" t="s">
        <v>692</v>
      </c>
      <c r="G433" s="8" t="s">
        <v>692</v>
      </c>
      <c r="H433" s="8" t="s">
        <v>692</v>
      </c>
      <c r="I433" s="8" t="s">
        <v>692</v>
      </c>
      <c r="J433" s="53">
        <v>735540</v>
      </c>
      <c r="K433" s="60">
        <v>0</v>
      </c>
      <c r="L433" s="60">
        <v>735540</v>
      </c>
      <c r="M433" s="58">
        <v>625209</v>
      </c>
      <c r="N433" s="58">
        <v>110331</v>
      </c>
      <c r="O433" s="52">
        <v>0</v>
      </c>
      <c r="P433" s="4">
        <f t="shared" si="12"/>
        <v>1</v>
      </c>
      <c r="Q433" s="71"/>
      <c r="R433" s="71"/>
      <c r="S433" s="3">
        <f t="shared" si="13"/>
        <v>0</v>
      </c>
    </row>
    <row r="434" spans="1:20" x14ac:dyDescent="0.3">
      <c r="A434" s="8" t="s">
        <v>421</v>
      </c>
      <c r="B434" s="5" t="s">
        <v>601</v>
      </c>
      <c r="C434" s="8">
        <v>1534832</v>
      </c>
      <c r="D434" s="8" t="s">
        <v>634</v>
      </c>
      <c r="E434" s="35" t="s">
        <v>635</v>
      </c>
      <c r="F434" s="18" t="s">
        <v>692</v>
      </c>
      <c r="G434" s="18" t="s">
        <v>692</v>
      </c>
      <c r="H434" s="18" t="s">
        <v>692</v>
      </c>
      <c r="I434" s="18" t="s">
        <v>692</v>
      </c>
      <c r="J434" s="53">
        <v>796621.8</v>
      </c>
      <c r="K434" s="60">
        <v>0</v>
      </c>
      <c r="L434" s="60">
        <v>796621.8</v>
      </c>
      <c r="M434" s="58">
        <v>677128.53</v>
      </c>
      <c r="N434" s="58">
        <v>119493.27000000002</v>
      </c>
      <c r="O434" s="52">
        <v>0</v>
      </c>
      <c r="P434" s="4">
        <f t="shared" si="12"/>
        <v>1</v>
      </c>
      <c r="Q434" s="71"/>
      <c r="R434" s="71"/>
      <c r="S434" s="3">
        <f t="shared" si="13"/>
        <v>0</v>
      </c>
    </row>
    <row r="435" spans="1:20" ht="44.35" x14ac:dyDescent="0.3">
      <c r="A435" s="8" t="s">
        <v>421</v>
      </c>
      <c r="B435" s="5" t="s">
        <v>601</v>
      </c>
      <c r="C435" s="8">
        <v>1534923</v>
      </c>
      <c r="D435" s="8" t="s">
        <v>636</v>
      </c>
      <c r="E435" s="38" t="s">
        <v>38</v>
      </c>
      <c r="F435" s="8" t="s">
        <v>692</v>
      </c>
      <c r="G435" s="8" t="s">
        <v>692</v>
      </c>
      <c r="H435" s="8" t="s">
        <v>692</v>
      </c>
      <c r="I435" s="8" t="s">
        <v>692</v>
      </c>
      <c r="J435" s="53">
        <v>257775.44</v>
      </c>
      <c r="K435" s="60">
        <v>0</v>
      </c>
      <c r="L435" s="60">
        <v>257775.44</v>
      </c>
      <c r="M435" s="58">
        <v>219109.12400000001</v>
      </c>
      <c r="N435" s="58">
        <v>38666.315999999992</v>
      </c>
      <c r="O435" s="52">
        <v>0</v>
      </c>
      <c r="P435" s="4">
        <f t="shared" si="12"/>
        <v>1</v>
      </c>
      <c r="Q435" s="71"/>
      <c r="R435" s="71"/>
      <c r="S435" s="3">
        <f t="shared" si="13"/>
        <v>0</v>
      </c>
    </row>
    <row r="436" spans="1:20" ht="29.55" x14ac:dyDescent="0.3">
      <c r="A436" s="8" t="s">
        <v>421</v>
      </c>
      <c r="B436" s="5" t="s">
        <v>601</v>
      </c>
      <c r="C436" s="8">
        <v>1534923</v>
      </c>
      <c r="D436" s="8" t="s">
        <v>636</v>
      </c>
      <c r="E436" s="35" t="s">
        <v>637</v>
      </c>
      <c r="F436" s="8" t="s">
        <v>692</v>
      </c>
      <c r="G436" s="8" t="s">
        <v>692</v>
      </c>
      <c r="H436" s="8" t="s">
        <v>692</v>
      </c>
      <c r="I436" s="8" t="s">
        <v>692</v>
      </c>
      <c r="J436" s="53">
        <v>151365</v>
      </c>
      <c r="K436" s="60">
        <v>0</v>
      </c>
      <c r="L436" s="60">
        <v>151365</v>
      </c>
      <c r="M436" s="58">
        <v>128660.25</v>
      </c>
      <c r="N436" s="58">
        <v>22704.75</v>
      </c>
      <c r="O436" s="52">
        <v>0</v>
      </c>
      <c r="P436" s="4">
        <f t="shared" si="12"/>
        <v>1</v>
      </c>
      <c r="Q436" s="71"/>
      <c r="R436" s="71"/>
      <c r="S436" s="3">
        <f t="shared" si="13"/>
        <v>0</v>
      </c>
    </row>
    <row r="437" spans="1:20" x14ac:dyDescent="0.3">
      <c r="A437" s="8" t="s">
        <v>421</v>
      </c>
      <c r="B437" s="5" t="s">
        <v>601</v>
      </c>
      <c r="C437" s="8">
        <v>1534923</v>
      </c>
      <c r="D437" s="8" t="s">
        <v>636</v>
      </c>
      <c r="E437" s="35" t="s">
        <v>638</v>
      </c>
      <c r="F437" s="9" t="s">
        <v>692</v>
      </c>
      <c r="G437" s="9" t="s">
        <v>692</v>
      </c>
      <c r="H437" s="9" t="s">
        <v>692</v>
      </c>
      <c r="I437" s="9" t="s">
        <v>692</v>
      </c>
      <c r="J437" s="53">
        <v>155000</v>
      </c>
      <c r="K437" s="60">
        <v>0</v>
      </c>
      <c r="L437" s="60">
        <v>155000</v>
      </c>
      <c r="M437" s="58">
        <v>131750</v>
      </c>
      <c r="N437" s="58">
        <v>23250</v>
      </c>
      <c r="O437" s="52">
        <v>0</v>
      </c>
      <c r="P437" s="4">
        <f t="shared" si="12"/>
        <v>1</v>
      </c>
      <c r="Q437" s="71"/>
      <c r="R437" s="71"/>
      <c r="S437" s="3">
        <f t="shared" si="13"/>
        <v>0</v>
      </c>
    </row>
    <row r="438" spans="1:20" x14ac:dyDescent="0.3">
      <c r="A438" s="8" t="s">
        <v>100</v>
      </c>
      <c r="B438" s="9" t="s">
        <v>601</v>
      </c>
      <c r="C438" s="8">
        <v>1503582</v>
      </c>
      <c r="D438" s="9" t="s">
        <v>639</v>
      </c>
      <c r="E438" s="36" t="s">
        <v>136</v>
      </c>
      <c r="F438" s="49">
        <v>13008</v>
      </c>
      <c r="G438" s="49" t="s">
        <v>692</v>
      </c>
      <c r="H438" s="49" t="s">
        <v>692</v>
      </c>
      <c r="I438" s="49" t="s">
        <v>692</v>
      </c>
      <c r="J438" s="53">
        <v>69120</v>
      </c>
      <c r="K438" s="57">
        <v>0</v>
      </c>
      <c r="L438" s="57">
        <v>69120</v>
      </c>
      <c r="M438" s="58">
        <v>58752</v>
      </c>
      <c r="N438" s="58">
        <v>10368</v>
      </c>
      <c r="O438" s="52">
        <v>0</v>
      </c>
      <c r="P438" s="4">
        <f t="shared" si="12"/>
        <v>1</v>
      </c>
      <c r="Q438" s="71"/>
      <c r="R438" s="71"/>
      <c r="S438" s="3">
        <f t="shared" si="13"/>
        <v>0</v>
      </c>
    </row>
    <row r="439" spans="1:20" x14ac:dyDescent="0.3">
      <c r="A439" s="8" t="s">
        <v>100</v>
      </c>
      <c r="B439" s="9" t="s">
        <v>601</v>
      </c>
      <c r="C439" s="8">
        <v>1503582</v>
      </c>
      <c r="D439" s="9" t="s">
        <v>639</v>
      </c>
      <c r="E439" s="40" t="s">
        <v>510</v>
      </c>
      <c r="F439" s="9">
        <v>13008</v>
      </c>
      <c r="G439" s="9" t="s">
        <v>692</v>
      </c>
      <c r="H439" s="9" t="s">
        <v>692</v>
      </c>
      <c r="I439" s="9" t="s">
        <v>692</v>
      </c>
      <c r="J439" s="53">
        <v>21697.199999999997</v>
      </c>
      <c r="K439" s="57">
        <v>3254.58</v>
      </c>
      <c r="L439" s="57">
        <v>18442.62</v>
      </c>
      <c r="M439" s="58">
        <v>18442.62</v>
      </c>
      <c r="N439" s="55">
        <v>0</v>
      </c>
      <c r="O439" s="52">
        <v>0</v>
      </c>
      <c r="P439" s="4">
        <f t="shared" si="12"/>
        <v>0.85000000000000009</v>
      </c>
      <c r="Q439" s="71"/>
      <c r="R439" s="71"/>
      <c r="S439" s="3">
        <f t="shared" si="13"/>
        <v>0</v>
      </c>
    </row>
    <row r="440" spans="1:20" x14ac:dyDescent="0.3">
      <c r="A440" s="8" t="s">
        <v>100</v>
      </c>
      <c r="B440" s="9" t="s">
        <v>601</v>
      </c>
      <c r="C440" s="5">
        <v>570702</v>
      </c>
      <c r="D440" s="9" t="s">
        <v>640</v>
      </c>
      <c r="E440" s="36" t="s">
        <v>126</v>
      </c>
      <c r="F440" s="9">
        <v>13008</v>
      </c>
      <c r="G440" s="9" t="s">
        <v>692</v>
      </c>
      <c r="H440" s="9" t="s">
        <v>692</v>
      </c>
      <c r="I440" s="9" t="s">
        <v>692</v>
      </c>
      <c r="J440" s="53">
        <v>92984.78</v>
      </c>
      <c r="K440" s="57">
        <v>0</v>
      </c>
      <c r="L440" s="53">
        <v>92984.78</v>
      </c>
      <c r="M440" s="58">
        <f>L440*0.85</f>
        <v>79037.062999999995</v>
      </c>
      <c r="N440" s="58">
        <f>L440-M440</f>
        <v>13947.717000000004</v>
      </c>
      <c r="O440" s="52">
        <v>0</v>
      </c>
      <c r="P440" s="4">
        <f t="shared" si="12"/>
        <v>1</v>
      </c>
      <c r="Q440" s="71">
        <v>40.200000000000003</v>
      </c>
      <c r="R440" s="71">
        <v>40.200000000000003</v>
      </c>
      <c r="S440" s="81">
        <f>R440*0.6386</f>
        <v>25.671720000000001</v>
      </c>
      <c r="T440" s="81">
        <f t="shared" ref="T440" si="14">R440-S440</f>
        <v>14.528280000000002</v>
      </c>
    </row>
    <row r="441" spans="1:20" x14ac:dyDescent="0.3">
      <c r="A441" s="8" t="s">
        <v>100</v>
      </c>
      <c r="B441" s="9" t="s">
        <v>601</v>
      </c>
      <c r="C441" s="5">
        <v>570702</v>
      </c>
      <c r="D441" s="9" t="s">
        <v>640</v>
      </c>
      <c r="E441" s="36" t="s">
        <v>641</v>
      </c>
      <c r="F441" s="9">
        <v>13008</v>
      </c>
      <c r="G441" s="9">
        <v>16755</v>
      </c>
      <c r="H441" s="9">
        <v>4902730</v>
      </c>
      <c r="I441" s="9" t="s">
        <v>692</v>
      </c>
      <c r="J441" s="53">
        <v>31000</v>
      </c>
      <c r="K441" s="57">
        <v>4650</v>
      </c>
      <c r="L441" s="57">
        <v>26350</v>
      </c>
      <c r="M441" s="58">
        <f>L441</f>
        <v>26350</v>
      </c>
      <c r="N441" s="55">
        <v>0</v>
      </c>
      <c r="O441" s="52">
        <v>0</v>
      </c>
      <c r="P441" s="4">
        <f t="shared" si="12"/>
        <v>0.85</v>
      </c>
      <c r="Q441" s="71">
        <v>66.647058823527701</v>
      </c>
      <c r="R441" s="71">
        <v>56.649999999998542</v>
      </c>
      <c r="S441" s="81">
        <f>R441</f>
        <v>56.649999999998542</v>
      </c>
      <c r="T441" s="81">
        <f>R441-S441</f>
        <v>0</v>
      </c>
    </row>
    <row r="442" spans="1:20" x14ac:dyDescent="0.3">
      <c r="A442" s="8" t="s">
        <v>100</v>
      </c>
      <c r="B442" s="9" t="s">
        <v>601</v>
      </c>
      <c r="C442" s="5">
        <v>570702</v>
      </c>
      <c r="D442" s="9" t="s">
        <v>640</v>
      </c>
      <c r="E442" s="36" t="s">
        <v>642</v>
      </c>
      <c r="F442" s="9">
        <v>13008</v>
      </c>
      <c r="G442" s="9" t="s">
        <v>692</v>
      </c>
      <c r="H442" s="9" t="s">
        <v>692</v>
      </c>
      <c r="I442" s="9" t="s">
        <v>692</v>
      </c>
      <c r="J442" s="53">
        <v>18020.21</v>
      </c>
      <c r="K442" s="57">
        <v>0</v>
      </c>
      <c r="L442" s="53">
        <v>18020.21</v>
      </c>
      <c r="M442" s="58">
        <f>L442*0.85</f>
        <v>15317.178499999998</v>
      </c>
      <c r="N442" s="58">
        <f>L442-M442</f>
        <v>2703.031500000001</v>
      </c>
      <c r="O442" s="52">
        <v>0</v>
      </c>
      <c r="P442" s="4">
        <f t="shared" si="12"/>
        <v>1</v>
      </c>
      <c r="Q442" s="71"/>
      <c r="R442" s="71"/>
    </row>
    <row r="443" spans="1:20" x14ac:dyDescent="0.3">
      <c r="A443" s="8" t="s">
        <v>100</v>
      </c>
      <c r="B443" s="9" t="s">
        <v>601</v>
      </c>
      <c r="C443" s="5">
        <v>570702</v>
      </c>
      <c r="D443" s="9" t="s">
        <v>640</v>
      </c>
      <c r="E443" s="36" t="s">
        <v>625</v>
      </c>
      <c r="F443" s="9">
        <v>13008</v>
      </c>
      <c r="G443" s="9" t="s">
        <v>692</v>
      </c>
      <c r="H443" s="9" t="s">
        <v>692</v>
      </c>
      <c r="I443" s="9" t="s">
        <v>692</v>
      </c>
      <c r="J443" s="53">
        <v>7995</v>
      </c>
      <c r="K443" s="57">
        <v>0</v>
      </c>
      <c r="L443" s="57">
        <v>7995</v>
      </c>
      <c r="M443" s="58">
        <v>6795.75</v>
      </c>
      <c r="N443" s="58">
        <v>1199.25</v>
      </c>
      <c r="O443" s="52">
        <v>0</v>
      </c>
      <c r="P443" s="4">
        <f t="shared" si="12"/>
        <v>1</v>
      </c>
      <c r="Q443" s="71"/>
      <c r="R443" s="71"/>
    </row>
    <row r="444" spans="1:20" x14ac:dyDescent="0.3">
      <c r="A444" s="8" t="s">
        <v>100</v>
      </c>
      <c r="B444" s="9" t="s">
        <v>601</v>
      </c>
      <c r="C444" s="5">
        <v>475062</v>
      </c>
      <c r="D444" s="9" t="s">
        <v>618</v>
      </c>
      <c r="E444" s="36" t="s">
        <v>643</v>
      </c>
      <c r="F444" s="9">
        <v>13008</v>
      </c>
      <c r="G444" s="9" t="s">
        <v>692</v>
      </c>
      <c r="H444" s="9" t="s">
        <v>692</v>
      </c>
      <c r="I444" s="9" t="s">
        <v>692</v>
      </c>
      <c r="J444" s="53">
        <v>61500</v>
      </c>
      <c r="K444" s="57">
        <v>0</v>
      </c>
      <c r="L444" s="57">
        <v>61500</v>
      </c>
      <c r="M444" s="58">
        <v>52275</v>
      </c>
      <c r="N444" s="58">
        <v>9225</v>
      </c>
      <c r="O444" s="52">
        <v>0</v>
      </c>
      <c r="P444" s="4">
        <f t="shared" si="12"/>
        <v>1</v>
      </c>
      <c r="Q444" s="71"/>
      <c r="R444" s="71"/>
    </row>
    <row r="445" spans="1:20" x14ac:dyDescent="0.3">
      <c r="A445" s="8" t="s">
        <v>100</v>
      </c>
      <c r="B445" s="9" t="s">
        <v>601</v>
      </c>
      <c r="C445" s="5">
        <v>475062</v>
      </c>
      <c r="D445" s="9" t="s">
        <v>618</v>
      </c>
      <c r="E445" s="36" t="s">
        <v>126</v>
      </c>
      <c r="F445" s="18">
        <v>13008</v>
      </c>
      <c r="G445" s="18" t="s">
        <v>692</v>
      </c>
      <c r="H445" s="18" t="s">
        <v>692</v>
      </c>
      <c r="I445" s="18" t="s">
        <v>692</v>
      </c>
      <c r="J445" s="53">
        <v>73500</v>
      </c>
      <c r="K445" s="57">
        <v>0</v>
      </c>
      <c r="L445" s="57">
        <v>73500</v>
      </c>
      <c r="M445" s="58">
        <v>62475</v>
      </c>
      <c r="N445" s="58">
        <v>11025</v>
      </c>
      <c r="O445" s="52">
        <v>0</v>
      </c>
      <c r="P445" s="4">
        <f t="shared" si="12"/>
        <v>1</v>
      </c>
      <c r="Q445" s="71"/>
      <c r="R445" s="71"/>
    </row>
    <row r="446" spans="1:20" x14ac:dyDescent="0.3">
      <c r="A446" s="8" t="s">
        <v>100</v>
      </c>
      <c r="B446" s="9" t="s">
        <v>601</v>
      </c>
      <c r="C446" s="5">
        <v>475062</v>
      </c>
      <c r="D446" s="9" t="s">
        <v>618</v>
      </c>
      <c r="E446" s="38" t="s">
        <v>50</v>
      </c>
      <c r="F446" s="9">
        <v>13008</v>
      </c>
      <c r="G446" s="9" t="s">
        <v>692</v>
      </c>
      <c r="H446" s="9" t="s">
        <v>692</v>
      </c>
      <c r="I446" s="9" t="s">
        <v>692</v>
      </c>
      <c r="J446" s="53">
        <v>15000</v>
      </c>
      <c r="K446" s="57">
        <v>0</v>
      </c>
      <c r="L446" s="57">
        <v>15000</v>
      </c>
      <c r="M446" s="58">
        <v>12750</v>
      </c>
      <c r="N446" s="58">
        <v>2250</v>
      </c>
      <c r="O446" s="52">
        <v>0</v>
      </c>
      <c r="P446" s="4">
        <f t="shared" si="12"/>
        <v>1</v>
      </c>
      <c r="Q446" s="71"/>
      <c r="R446" s="71"/>
    </row>
    <row r="447" spans="1:20" x14ac:dyDescent="0.3">
      <c r="A447" s="8" t="s">
        <v>100</v>
      </c>
      <c r="B447" s="9" t="s">
        <v>601</v>
      </c>
      <c r="C447" s="5">
        <v>607386</v>
      </c>
      <c r="D447" s="9" t="s">
        <v>602</v>
      </c>
      <c r="E447" s="36" t="s">
        <v>644</v>
      </c>
      <c r="F447" s="12">
        <v>13008</v>
      </c>
      <c r="G447" s="12" t="s">
        <v>692</v>
      </c>
      <c r="H447" s="12" t="s">
        <v>692</v>
      </c>
      <c r="I447" s="12" t="s">
        <v>692</v>
      </c>
      <c r="J447" s="53">
        <v>67650</v>
      </c>
      <c r="K447" s="57">
        <v>0</v>
      </c>
      <c r="L447" s="57">
        <v>67650</v>
      </c>
      <c r="M447" s="58">
        <v>57502.5</v>
      </c>
      <c r="N447" s="58">
        <v>10147.5</v>
      </c>
      <c r="O447" s="52">
        <v>0</v>
      </c>
      <c r="P447" s="4">
        <f t="shared" si="12"/>
        <v>1</v>
      </c>
      <c r="Q447" s="71"/>
      <c r="R447" s="71"/>
    </row>
    <row r="448" spans="1:20" ht="29.55" x14ac:dyDescent="0.3">
      <c r="A448" s="8" t="s">
        <v>100</v>
      </c>
      <c r="B448" s="9" t="s">
        <v>601</v>
      </c>
      <c r="C448" s="5">
        <v>607386</v>
      </c>
      <c r="D448" s="9" t="s">
        <v>602</v>
      </c>
      <c r="E448" s="41" t="s">
        <v>604</v>
      </c>
      <c r="F448" s="18">
        <v>13008</v>
      </c>
      <c r="G448" s="18">
        <v>16755</v>
      </c>
      <c r="H448" s="18">
        <v>4902978</v>
      </c>
      <c r="I448" s="18" t="s">
        <v>692</v>
      </c>
      <c r="J448" s="53">
        <v>59040</v>
      </c>
      <c r="K448" s="57">
        <v>8856</v>
      </c>
      <c r="L448" s="57">
        <v>50184</v>
      </c>
      <c r="M448" s="58">
        <v>50184</v>
      </c>
      <c r="N448" s="55">
        <v>0</v>
      </c>
      <c r="O448" s="52">
        <v>0</v>
      </c>
      <c r="P448" s="4">
        <f t="shared" si="12"/>
        <v>0.85</v>
      </c>
      <c r="Q448" s="71"/>
      <c r="R448" s="71"/>
    </row>
    <row r="449" spans="1:18" x14ac:dyDescent="0.3">
      <c r="A449" s="8" t="s">
        <v>100</v>
      </c>
      <c r="B449" s="9" t="s">
        <v>601</v>
      </c>
      <c r="C449" s="5">
        <v>607386</v>
      </c>
      <c r="D449" s="9" t="s">
        <v>602</v>
      </c>
      <c r="E449" s="38" t="s">
        <v>607</v>
      </c>
      <c r="F449" s="18">
        <v>13008</v>
      </c>
      <c r="G449" s="18">
        <v>16755</v>
      </c>
      <c r="H449" s="18">
        <v>4903101</v>
      </c>
      <c r="I449" s="18" t="s">
        <v>692</v>
      </c>
      <c r="J449" s="53">
        <v>12300</v>
      </c>
      <c r="K449" s="57">
        <v>1845</v>
      </c>
      <c r="L449" s="57">
        <v>10455</v>
      </c>
      <c r="M449" s="58">
        <v>10455</v>
      </c>
      <c r="N449" s="55">
        <v>0</v>
      </c>
      <c r="O449" s="52">
        <v>0</v>
      </c>
      <c r="P449" s="4">
        <f t="shared" si="12"/>
        <v>0.85</v>
      </c>
      <c r="Q449" s="71"/>
      <c r="R449" s="71"/>
    </row>
    <row r="450" spans="1:18" ht="44.35" x14ac:dyDescent="0.3">
      <c r="A450" s="8" t="s">
        <v>100</v>
      </c>
      <c r="B450" s="9" t="s">
        <v>601</v>
      </c>
      <c r="C450" s="9">
        <v>1534923</v>
      </c>
      <c r="D450" s="9" t="s">
        <v>645</v>
      </c>
      <c r="E450" s="38" t="s">
        <v>38</v>
      </c>
      <c r="F450" s="9">
        <v>13008</v>
      </c>
      <c r="G450" s="9" t="s">
        <v>692</v>
      </c>
      <c r="H450" s="9" t="s">
        <v>692</v>
      </c>
      <c r="I450" s="9" t="s">
        <v>692</v>
      </c>
      <c r="J450" s="53">
        <v>31294.959999999999</v>
      </c>
      <c r="K450" s="57">
        <v>0</v>
      </c>
      <c r="L450" s="57">
        <v>31294.959999999999</v>
      </c>
      <c r="M450" s="58">
        <v>26600.716</v>
      </c>
      <c r="N450" s="55">
        <v>4694.2439999999988</v>
      </c>
      <c r="O450" s="52">
        <v>0</v>
      </c>
      <c r="P450" s="4">
        <f t="shared" si="12"/>
        <v>1</v>
      </c>
      <c r="Q450" s="71"/>
      <c r="R450" s="71"/>
    </row>
    <row r="451" spans="1:18" x14ac:dyDescent="0.3">
      <c r="A451" s="8" t="s">
        <v>100</v>
      </c>
      <c r="B451" s="9" t="s">
        <v>601</v>
      </c>
      <c r="C451" s="9">
        <v>1534923</v>
      </c>
      <c r="D451" s="9" t="s">
        <v>645</v>
      </c>
      <c r="E451" s="36" t="s">
        <v>638</v>
      </c>
      <c r="F451" s="12">
        <v>13008</v>
      </c>
      <c r="G451" s="12" t="s">
        <v>692</v>
      </c>
      <c r="H451" s="12" t="s">
        <v>692</v>
      </c>
      <c r="I451" s="12" t="s">
        <v>692</v>
      </c>
      <c r="J451" s="53">
        <v>44999.9</v>
      </c>
      <c r="K451" s="57">
        <v>0</v>
      </c>
      <c r="L451" s="61">
        <v>44999.9</v>
      </c>
      <c r="M451" s="58">
        <v>38249.915000000001</v>
      </c>
      <c r="N451" s="55">
        <v>6749.9850000000006</v>
      </c>
      <c r="O451" s="52">
        <v>0</v>
      </c>
      <c r="P451" s="4">
        <f t="shared" ref="P451:P514" si="15">L451/J451</f>
        <v>1</v>
      </c>
      <c r="Q451" s="71"/>
      <c r="R451" s="71"/>
    </row>
    <row r="452" spans="1:18" x14ac:dyDescent="0.3">
      <c r="A452" s="11" t="s">
        <v>100</v>
      </c>
      <c r="B452" s="12" t="s">
        <v>601</v>
      </c>
      <c r="C452" s="12">
        <v>1534923</v>
      </c>
      <c r="D452" s="12" t="s">
        <v>645</v>
      </c>
      <c r="E452" s="41" t="s">
        <v>646</v>
      </c>
      <c r="F452" s="12">
        <v>13008</v>
      </c>
      <c r="G452" s="12" t="s">
        <v>692</v>
      </c>
      <c r="H452" s="12" t="s">
        <v>692</v>
      </c>
      <c r="I452" s="12" t="s">
        <v>692</v>
      </c>
      <c r="J452" s="62">
        <v>35776.379999999997</v>
      </c>
      <c r="K452" s="63">
        <v>0</v>
      </c>
      <c r="L452" s="63">
        <v>35776.379999999997</v>
      </c>
      <c r="M452" s="64">
        <v>30409.922999999995</v>
      </c>
      <c r="N452" s="65">
        <v>5366.4570000000022</v>
      </c>
      <c r="O452" s="66">
        <v>0</v>
      </c>
      <c r="P452" s="13">
        <f t="shared" si="15"/>
        <v>1</v>
      </c>
      <c r="Q452" s="71"/>
      <c r="R452" s="71"/>
    </row>
    <row r="453" spans="1:18" x14ac:dyDescent="0.3">
      <c r="A453" s="14" t="s">
        <v>123</v>
      </c>
      <c r="B453" s="11" t="s">
        <v>164</v>
      </c>
      <c r="C453" s="14">
        <v>3775087</v>
      </c>
      <c r="D453" s="14" t="s">
        <v>700</v>
      </c>
      <c r="E453" s="41" t="s">
        <v>673</v>
      </c>
      <c r="F453" s="50" t="s">
        <v>692</v>
      </c>
      <c r="G453" s="50" t="s">
        <v>692</v>
      </c>
      <c r="H453" s="50" t="s">
        <v>692</v>
      </c>
      <c r="I453" s="50" t="s">
        <v>692</v>
      </c>
      <c r="J453" s="67">
        <v>100122</v>
      </c>
      <c r="K453" s="67">
        <v>0</v>
      </c>
      <c r="L453" s="67">
        <v>100122</v>
      </c>
      <c r="M453" s="67">
        <v>84595.773045893264</v>
      </c>
      <c r="N453" s="67">
        <v>15526.226954106736</v>
      </c>
      <c r="O453" s="66">
        <v>0</v>
      </c>
      <c r="P453" s="13">
        <f t="shared" si="15"/>
        <v>1</v>
      </c>
      <c r="Q453" s="71"/>
      <c r="R453" s="71"/>
    </row>
    <row r="454" spans="1:18" x14ac:dyDescent="0.3">
      <c r="A454" s="14" t="s">
        <v>123</v>
      </c>
      <c r="B454" s="11" t="s">
        <v>164</v>
      </c>
      <c r="C454" s="14">
        <v>3775087</v>
      </c>
      <c r="D454" s="14" t="s">
        <v>700</v>
      </c>
      <c r="E454" s="42" t="s">
        <v>357</v>
      </c>
      <c r="F454" s="50" t="s">
        <v>692</v>
      </c>
      <c r="G454" s="50" t="s">
        <v>692</v>
      </c>
      <c r="H454" s="50" t="s">
        <v>692</v>
      </c>
      <c r="I454" s="50" t="s">
        <v>692</v>
      </c>
      <c r="J454" s="67">
        <v>22140</v>
      </c>
      <c r="K454" s="67">
        <v>3433.32</v>
      </c>
      <c r="L454" s="67">
        <v>18706.68</v>
      </c>
      <c r="M454" s="67">
        <v>18706.68</v>
      </c>
      <c r="N454" s="67">
        <v>0</v>
      </c>
      <c r="O454" s="66">
        <v>0</v>
      </c>
      <c r="P454" s="13">
        <f t="shared" si="15"/>
        <v>0.84492682926829266</v>
      </c>
      <c r="Q454" s="71"/>
      <c r="R454" s="71"/>
    </row>
    <row r="455" spans="1:18" x14ac:dyDescent="0.3">
      <c r="A455" s="14" t="s">
        <v>123</v>
      </c>
      <c r="B455" s="11" t="s">
        <v>164</v>
      </c>
      <c r="C455" s="14">
        <v>3775087</v>
      </c>
      <c r="D455" s="14" t="s">
        <v>700</v>
      </c>
      <c r="E455" s="42" t="s">
        <v>127</v>
      </c>
      <c r="F455" s="12" t="s">
        <v>692</v>
      </c>
      <c r="G455" s="12" t="s">
        <v>692</v>
      </c>
      <c r="H455" s="12" t="s">
        <v>692</v>
      </c>
      <c r="I455" s="12" t="s">
        <v>692</v>
      </c>
      <c r="J455" s="67">
        <v>34440</v>
      </c>
      <c r="K455" s="67">
        <v>0</v>
      </c>
      <c r="L455" s="67">
        <v>34440</v>
      </c>
      <c r="M455" s="67">
        <v>29099.283111609479</v>
      </c>
      <c r="N455" s="67">
        <v>5340.7168883905215</v>
      </c>
      <c r="O455" s="66">
        <v>0</v>
      </c>
      <c r="P455" s="13">
        <f t="shared" si="15"/>
        <v>1</v>
      </c>
      <c r="Q455" s="71"/>
      <c r="R455" s="71"/>
    </row>
    <row r="456" spans="1:18" x14ac:dyDescent="0.3">
      <c r="A456" s="14" t="s">
        <v>123</v>
      </c>
      <c r="B456" s="11" t="s">
        <v>164</v>
      </c>
      <c r="C456" s="14">
        <v>3775087</v>
      </c>
      <c r="D456" s="14" t="s">
        <v>700</v>
      </c>
      <c r="E456" s="41" t="s">
        <v>674</v>
      </c>
      <c r="F456" s="50" t="s">
        <v>692</v>
      </c>
      <c r="G456" s="50" t="s">
        <v>692</v>
      </c>
      <c r="H456" s="50" t="s">
        <v>692</v>
      </c>
      <c r="I456" s="50" t="s">
        <v>692</v>
      </c>
      <c r="J456" s="67">
        <v>35055</v>
      </c>
      <c r="K456" s="67">
        <v>0</v>
      </c>
      <c r="L456" s="67">
        <v>35055</v>
      </c>
      <c r="M456" s="67">
        <v>29618.913167173934</v>
      </c>
      <c r="N456" s="67">
        <v>5436.0868328260658</v>
      </c>
      <c r="O456" s="66">
        <v>0</v>
      </c>
      <c r="P456" s="13">
        <f t="shared" si="15"/>
        <v>1</v>
      </c>
      <c r="Q456" s="71"/>
      <c r="R456" s="71"/>
    </row>
    <row r="457" spans="1:18" x14ac:dyDescent="0.3">
      <c r="A457" s="14" t="s">
        <v>123</v>
      </c>
      <c r="B457" s="11" t="s">
        <v>164</v>
      </c>
      <c r="C457" s="14">
        <v>3775087</v>
      </c>
      <c r="D457" s="14" t="s">
        <v>700</v>
      </c>
      <c r="E457" s="42" t="s">
        <v>126</v>
      </c>
      <c r="F457" s="50" t="s">
        <v>692</v>
      </c>
      <c r="G457" s="50" t="s">
        <v>692</v>
      </c>
      <c r="H457" s="50" t="s">
        <v>692</v>
      </c>
      <c r="I457" s="50" t="s">
        <v>692</v>
      </c>
      <c r="J457" s="67">
        <v>5040</v>
      </c>
      <c r="K457" s="67">
        <v>0</v>
      </c>
      <c r="L457" s="67">
        <v>5040</v>
      </c>
      <c r="M457" s="67">
        <v>4258.4316748696801</v>
      </c>
      <c r="N457" s="67">
        <v>781.56832513031986</v>
      </c>
      <c r="O457" s="66">
        <v>0</v>
      </c>
      <c r="P457" s="13">
        <f t="shared" si="15"/>
        <v>1</v>
      </c>
      <c r="Q457" s="71"/>
      <c r="R457" s="71"/>
    </row>
    <row r="458" spans="1:18" x14ac:dyDescent="0.3">
      <c r="A458" s="14" t="s">
        <v>123</v>
      </c>
      <c r="B458" s="11" t="s">
        <v>164</v>
      </c>
      <c r="C458" s="14">
        <v>3775087</v>
      </c>
      <c r="D458" s="14" t="s">
        <v>700</v>
      </c>
      <c r="E458" s="42" t="s">
        <v>168</v>
      </c>
      <c r="F458" s="29" t="s">
        <v>692</v>
      </c>
      <c r="G458" s="29" t="s">
        <v>692</v>
      </c>
      <c r="H458" s="29" t="s">
        <v>692</v>
      </c>
      <c r="I458" s="29" t="s">
        <v>692</v>
      </c>
      <c r="J458" s="67">
        <v>5040</v>
      </c>
      <c r="K458" s="67">
        <v>0</v>
      </c>
      <c r="L458" s="67">
        <v>5040</v>
      </c>
      <c r="M458" s="67">
        <v>4258.4316748696801</v>
      </c>
      <c r="N458" s="67">
        <v>781.56832513031986</v>
      </c>
      <c r="O458" s="66">
        <v>0</v>
      </c>
      <c r="P458" s="13">
        <f t="shared" si="15"/>
        <v>1</v>
      </c>
      <c r="Q458" s="71"/>
      <c r="R458" s="71"/>
    </row>
    <row r="459" spans="1:18" x14ac:dyDescent="0.3">
      <c r="A459" s="15" t="s">
        <v>123</v>
      </c>
      <c r="B459" s="12" t="s">
        <v>5</v>
      </c>
      <c r="C459" s="16">
        <v>3774050</v>
      </c>
      <c r="D459" s="17" t="s">
        <v>122</v>
      </c>
      <c r="E459" s="43" t="s">
        <v>124</v>
      </c>
      <c r="F459" s="12" t="s">
        <v>692</v>
      </c>
      <c r="G459" s="12">
        <v>23650</v>
      </c>
      <c r="H459" s="12">
        <v>9257060</v>
      </c>
      <c r="I459" s="12" t="s">
        <v>692</v>
      </c>
      <c r="J459" s="64">
        <v>138691</v>
      </c>
      <c r="K459" s="64">
        <v>21299.05</v>
      </c>
      <c r="L459" s="64">
        <v>117391.95</v>
      </c>
      <c r="M459" s="64">
        <v>117391.95</v>
      </c>
      <c r="N459" s="64">
        <v>0</v>
      </c>
      <c r="O459" s="66">
        <v>0</v>
      </c>
      <c r="P459" s="13">
        <f t="shared" si="15"/>
        <v>0.84642803065808159</v>
      </c>
      <c r="Q459" s="71"/>
      <c r="R459" s="71"/>
    </row>
    <row r="460" spans="1:18" x14ac:dyDescent="0.3">
      <c r="A460" s="11" t="s">
        <v>123</v>
      </c>
      <c r="B460" s="12" t="s">
        <v>601</v>
      </c>
      <c r="C460" s="12">
        <v>3687357</v>
      </c>
      <c r="D460" s="12" t="s">
        <v>647</v>
      </c>
      <c r="E460" s="41" t="s">
        <v>126</v>
      </c>
      <c r="F460" s="12" t="s">
        <v>692</v>
      </c>
      <c r="G460" s="12" t="s">
        <v>692</v>
      </c>
      <c r="H460" s="12" t="s">
        <v>692</v>
      </c>
      <c r="I460" s="12" t="s">
        <v>692</v>
      </c>
      <c r="J460" s="64">
        <v>80053.539999999994</v>
      </c>
      <c r="K460" s="64">
        <v>0</v>
      </c>
      <c r="L460" s="64">
        <v>80053.539999999994</v>
      </c>
      <c r="M460" s="64">
        <v>68045.506540595146</v>
      </c>
      <c r="N460" s="64">
        <v>12008.033459404847</v>
      </c>
      <c r="O460" s="66">
        <v>0</v>
      </c>
      <c r="P460" s="13">
        <f t="shared" si="15"/>
        <v>1</v>
      </c>
      <c r="Q460" s="71"/>
      <c r="R460" s="71"/>
    </row>
    <row r="461" spans="1:18" x14ac:dyDescent="0.3">
      <c r="A461" s="11" t="s">
        <v>123</v>
      </c>
      <c r="B461" s="12" t="s">
        <v>601</v>
      </c>
      <c r="C461" s="12">
        <v>3687357</v>
      </c>
      <c r="D461" s="12" t="s">
        <v>647</v>
      </c>
      <c r="E461" s="41" t="s">
        <v>132</v>
      </c>
      <c r="F461" s="12" t="s">
        <v>692</v>
      </c>
      <c r="G461" s="12" t="s">
        <v>692</v>
      </c>
      <c r="H461" s="12" t="s">
        <v>692</v>
      </c>
      <c r="I461" s="12" t="s">
        <v>692</v>
      </c>
      <c r="J461" s="64">
        <v>50035.86</v>
      </c>
      <c r="K461" s="64">
        <v>0</v>
      </c>
      <c r="L461" s="64">
        <v>50035.86</v>
      </c>
      <c r="M461" s="64">
        <v>42530.479462798314</v>
      </c>
      <c r="N461" s="64">
        <v>7505.3805372016868</v>
      </c>
      <c r="O461" s="66">
        <v>0</v>
      </c>
      <c r="P461" s="13">
        <f t="shared" si="15"/>
        <v>1</v>
      </c>
      <c r="Q461" s="71"/>
      <c r="R461" s="71"/>
    </row>
    <row r="462" spans="1:18" x14ac:dyDescent="0.3">
      <c r="A462" s="11" t="s">
        <v>123</v>
      </c>
      <c r="B462" s="12" t="s">
        <v>601</v>
      </c>
      <c r="C462" s="12">
        <v>3687357</v>
      </c>
      <c r="D462" s="12" t="s">
        <v>647</v>
      </c>
      <c r="E462" s="41" t="s">
        <v>371</v>
      </c>
      <c r="F462" s="12" t="s">
        <v>692</v>
      </c>
      <c r="G462" s="12" t="s">
        <v>692</v>
      </c>
      <c r="H462" s="12" t="s">
        <v>692</v>
      </c>
      <c r="I462" s="12" t="s">
        <v>692</v>
      </c>
      <c r="J462" s="64">
        <v>49815</v>
      </c>
      <c r="K462" s="64">
        <v>0</v>
      </c>
      <c r="L462" s="64">
        <v>49815</v>
      </c>
      <c r="M462" s="64">
        <v>42342.748469583574</v>
      </c>
      <c r="N462" s="64">
        <v>7472.2515304164262</v>
      </c>
      <c r="O462" s="66">
        <v>0</v>
      </c>
      <c r="P462" s="13">
        <f t="shared" si="15"/>
        <v>1</v>
      </c>
      <c r="Q462" s="71"/>
      <c r="R462" s="71"/>
    </row>
    <row r="463" spans="1:18" x14ac:dyDescent="0.3">
      <c r="A463" s="11" t="s">
        <v>123</v>
      </c>
      <c r="B463" s="12" t="s">
        <v>601</v>
      </c>
      <c r="C463" s="12">
        <v>3687357</v>
      </c>
      <c r="D463" s="12" t="s">
        <v>647</v>
      </c>
      <c r="E463" s="41" t="s">
        <v>127</v>
      </c>
      <c r="F463" s="29" t="s">
        <v>692</v>
      </c>
      <c r="G463" s="29" t="s">
        <v>692</v>
      </c>
      <c r="H463" s="29" t="s">
        <v>692</v>
      </c>
      <c r="I463" s="29" t="s">
        <v>692</v>
      </c>
      <c r="J463" s="64">
        <v>20300</v>
      </c>
      <c r="K463" s="64">
        <v>0</v>
      </c>
      <c r="L463" s="64">
        <v>20300</v>
      </c>
      <c r="M463" s="64">
        <v>17254.999376343399</v>
      </c>
      <c r="N463" s="64">
        <v>3045.0006236566005</v>
      </c>
      <c r="O463" s="66">
        <v>0</v>
      </c>
      <c r="P463" s="13">
        <f t="shared" si="15"/>
        <v>1</v>
      </c>
      <c r="Q463" s="71"/>
      <c r="R463" s="71"/>
    </row>
    <row r="464" spans="1:18" x14ac:dyDescent="0.3">
      <c r="A464" s="15" t="s">
        <v>123</v>
      </c>
      <c r="B464" s="12" t="s">
        <v>5</v>
      </c>
      <c r="C464" s="16">
        <v>3812746</v>
      </c>
      <c r="D464" s="17" t="s">
        <v>125</v>
      </c>
      <c r="E464" s="43" t="s">
        <v>126</v>
      </c>
      <c r="F464" s="29" t="s">
        <v>692</v>
      </c>
      <c r="G464" s="29" t="s">
        <v>692</v>
      </c>
      <c r="H464" s="29" t="s">
        <v>692</v>
      </c>
      <c r="I464" s="29" t="s">
        <v>692</v>
      </c>
      <c r="J464" s="64">
        <v>149982</v>
      </c>
      <c r="K464" s="64">
        <v>0</v>
      </c>
      <c r="L464" s="64">
        <v>149982</v>
      </c>
      <c r="M464" s="64">
        <v>126948.97394569189</v>
      </c>
      <c r="N464" s="64">
        <v>23033.026054308109</v>
      </c>
      <c r="O464" s="66">
        <v>0</v>
      </c>
      <c r="P464" s="13">
        <f t="shared" si="15"/>
        <v>1</v>
      </c>
      <c r="Q464" s="71"/>
      <c r="R464" s="71"/>
    </row>
    <row r="465" spans="1:18" x14ac:dyDescent="0.3">
      <c r="A465" s="15" t="s">
        <v>123</v>
      </c>
      <c r="B465" s="12" t="s">
        <v>5</v>
      </c>
      <c r="C465" s="16">
        <v>3812746</v>
      </c>
      <c r="D465" s="17" t="s">
        <v>125</v>
      </c>
      <c r="E465" s="43" t="s">
        <v>127</v>
      </c>
      <c r="F465" s="29" t="s">
        <v>692</v>
      </c>
      <c r="G465" s="29" t="s">
        <v>692</v>
      </c>
      <c r="H465" s="29" t="s">
        <v>692</v>
      </c>
      <c r="I465" s="29" t="s">
        <v>692</v>
      </c>
      <c r="J465" s="64">
        <v>50400</v>
      </c>
      <c r="K465" s="64">
        <v>0</v>
      </c>
      <c r="L465" s="64">
        <v>50400</v>
      </c>
      <c r="M465" s="64">
        <v>42659.974442685598</v>
      </c>
      <c r="N465" s="64">
        <v>7740.0255573144022</v>
      </c>
      <c r="O465" s="66">
        <v>0</v>
      </c>
      <c r="P465" s="13">
        <f t="shared" si="15"/>
        <v>1</v>
      </c>
      <c r="Q465" s="71"/>
      <c r="R465" s="71"/>
    </row>
    <row r="466" spans="1:18" ht="44.35" x14ac:dyDescent="0.3">
      <c r="A466" s="15" t="s">
        <v>123</v>
      </c>
      <c r="B466" s="12" t="s">
        <v>5</v>
      </c>
      <c r="C466" s="16">
        <v>3800048</v>
      </c>
      <c r="D466" s="17" t="s">
        <v>128</v>
      </c>
      <c r="E466" s="43" t="s">
        <v>129</v>
      </c>
      <c r="F466" s="29" t="s">
        <v>692</v>
      </c>
      <c r="G466" s="29" t="s">
        <v>692</v>
      </c>
      <c r="H466" s="29" t="s">
        <v>692</v>
      </c>
      <c r="I466" s="29" t="s">
        <v>692</v>
      </c>
      <c r="J466" s="64">
        <v>149998.5</v>
      </c>
      <c r="K466" s="64">
        <v>0</v>
      </c>
      <c r="L466" s="64">
        <v>149998.5</v>
      </c>
      <c r="M466" s="64">
        <v>126962.94000875349</v>
      </c>
      <c r="N466" s="64">
        <v>23035.559991246511</v>
      </c>
      <c r="O466" s="66">
        <v>0</v>
      </c>
      <c r="P466" s="13">
        <f t="shared" si="15"/>
        <v>1</v>
      </c>
      <c r="Q466" s="71"/>
      <c r="R466" s="71"/>
    </row>
    <row r="467" spans="1:18" ht="44.35" x14ac:dyDescent="0.3">
      <c r="A467" s="15" t="s">
        <v>123</v>
      </c>
      <c r="B467" s="12" t="s">
        <v>5</v>
      </c>
      <c r="C467" s="16">
        <v>3800048</v>
      </c>
      <c r="D467" s="17" t="s">
        <v>128</v>
      </c>
      <c r="E467" s="43" t="s">
        <v>130</v>
      </c>
      <c r="F467" s="29" t="s">
        <v>692</v>
      </c>
      <c r="G467" s="29" t="s">
        <v>692</v>
      </c>
      <c r="H467" s="29" t="s">
        <v>692</v>
      </c>
      <c r="I467" s="29" t="s">
        <v>692</v>
      </c>
      <c r="J467" s="64">
        <v>49815</v>
      </c>
      <c r="K467" s="64">
        <v>7650.19</v>
      </c>
      <c r="L467" s="64">
        <v>42164.81</v>
      </c>
      <c r="M467" s="64">
        <v>42164.81</v>
      </c>
      <c r="N467" s="64">
        <v>0</v>
      </c>
      <c r="O467" s="66">
        <v>0</v>
      </c>
      <c r="P467" s="13">
        <f t="shared" si="15"/>
        <v>0.84642798353909465</v>
      </c>
      <c r="Q467" s="71"/>
      <c r="R467" s="71"/>
    </row>
    <row r="468" spans="1:18" x14ac:dyDescent="0.3">
      <c r="A468" s="15" t="s">
        <v>123</v>
      </c>
      <c r="B468" s="12" t="s">
        <v>5</v>
      </c>
      <c r="C468" s="16">
        <v>3795221</v>
      </c>
      <c r="D468" s="17" t="s">
        <v>131</v>
      </c>
      <c r="E468" s="43" t="s">
        <v>132</v>
      </c>
      <c r="F468" s="29" t="s">
        <v>692</v>
      </c>
      <c r="G468" s="29" t="s">
        <v>692</v>
      </c>
      <c r="H468" s="29" t="s">
        <v>692</v>
      </c>
      <c r="I468" s="29" t="s">
        <v>692</v>
      </c>
      <c r="J468" s="64">
        <v>24070.62</v>
      </c>
      <c r="K468" s="64">
        <v>0</v>
      </c>
      <c r="L468" s="64">
        <v>24070.62</v>
      </c>
      <c r="M468" s="64">
        <v>20374.048294039618</v>
      </c>
      <c r="N468" s="64">
        <v>3696.5717059603812</v>
      </c>
      <c r="O468" s="66">
        <v>0</v>
      </c>
      <c r="P468" s="13">
        <f t="shared" si="15"/>
        <v>1</v>
      </c>
      <c r="Q468" s="71"/>
      <c r="R468" s="71"/>
    </row>
    <row r="469" spans="1:18" x14ac:dyDescent="0.3">
      <c r="A469" s="15" t="s">
        <v>123</v>
      </c>
      <c r="B469" s="12" t="s">
        <v>5</v>
      </c>
      <c r="C469" s="16">
        <v>3795221</v>
      </c>
      <c r="D469" s="17" t="s">
        <v>131</v>
      </c>
      <c r="E469" s="43" t="s">
        <v>105</v>
      </c>
      <c r="F469" s="12" t="s">
        <v>692</v>
      </c>
      <c r="G469" s="12">
        <v>23650</v>
      </c>
      <c r="H469" s="12">
        <v>9257075</v>
      </c>
      <c r="I469" s="12" t="s">
        <v>692</v>
      </c>
      <c r="J469" s="64">
        <v>20632.43</v>
      </c>
      <c r="K469" s="64">
        <v>3168.56</v>
      </c>
      <c r="L469" s="64">
        <v>17463.87</v>
      </c>
      <c r="M469" s="64">
        <v>17463.87</v>
      </c>
      <c r="N469" s="64">
        <v>0</v>
      </c>
      <c r="O469" s="66">
        <v>0</v>
      </c>
      <c r="P469" s="13">
        <f t="shared" si="15"/>
        <v>0.84642817157261641</v>
      </c>
      <c r="Q469" s="71"/>
      <c r="R469" s="71"/>
    </row>
    <row r="470" spans="1:18" x14ac:dyDescent="0.3">
      <c r="A470" s="11" t="s">
        <v>123</v>
      </c>
      <c r="B470" s="12" t="s">
        <v>474</v>
      </c>
      <c r="C470" s="12">
        <v>3807259</v>
      </c>
      <c r="D470" s="12" t="s">
        <v>574</v>
      </c>
      <c r="E470" s="41" t="s">
        <v>136</v>
      </c>
      <c r="F470" s="12" t="s">
        <v>692</v>
      </c>
      <c r="G470" s="12" t="s">
        <v>692</v>
      </c>
      <c r="H470" s="12" t="s">
        <v>692</v>
      </c>
      <c r="I470" s="12" t="s">
        <v>692</v>
      </c>
      <c r="J470" s="64">
        <v>37059.9</v>
      </c>
      <c r="K470" s="64">
        <v>0</v>
      </c>
      <c r="L470" s="64">
        <v>37059.9</v>
      </c>
      <c r="M470" s="64">
        <v>31500.914306423972</v>
      </c>
      <c r="N470" s="64">
        <v>5558.985693576029</v>
      </c>
      <c r="O470" s="66">
        <v>0</v>
      </c>
      <c r="P470" s="13">
        <f t="shared" si="15"/>
        <v>1</v>
      </c>
      <c r="Q470" s="71"/>
      <c r="R470" s="71"/>
    </row>
    <row r="471" spans="1:18" x14ac:dyDescent="0.3">
      <c r="A471" s="11" t="s">
        <v>123</v>
      </c>
      <c r="B471" s="12" t="s">
        <v>474</v>
      </c>
      <c r="C471" s="12">
        <v>3807259</v>
      </c>
      <c r="D471" s="12" t="s">
        <v>574</v>
      </c>
      <c r="E471" s="41" t="s">
        <v>575</v>
      </c>
      <c r="F471" s="12" t="s">
        <v>692</v>
      </c>
      <c r="G471" s="12" t="s">
        <v>692</v>
      </c>
      <c r="H471" s="12" t="s">
        <v>692</v>
      </c>
      <c r="I471" s="12" t="s">
        <v>692</v>
      </c>
      <c r="J471" s="64">
        <v>28604.880000000001</v>
      </c>
      <c r="K471" s="64">
        <v>4290.7299999999996</v>
      </c>
      <c r="L471" s="64">
        <v>24314.15</v>
      </c>
      <c r="M471" s="64">
        <v>24314.15</v>
      </c>
      <c r="N471" s="64">
        <v>0</v>
      </c>
      <c r="O471" s="66">
        <v>0</v>
      </c>
      <c r="P471" s="13">
        <f t="shared" si="15"/>
        <v>0.85000006991813981</v>
      </c>
      <c r="Q471" s="71"/>
      <c r="R471" s="71"/>
    </row>
    <row r="472" spans="1:18" x14ac:dyDescent="0.3">
      <c r="A472" s="11" t="s">
        <v>123</v>
      </c>
      <c r="B472" s="12" t="s">
        <v>474</v>
      </c>
      <c r="C472" s="12">
        <v>3807259</v>
      </c>
      <c r="D472" s="12" t="s">
        <v>574</v>
      </c>
      <c r="E472" s="41" t="s">
        <v>576</v>
      </c>
      <c r="F472" s="12" t="s">
        <v>692</v>
      </c>
      <c r="G472" s="12" t="s">
        <v>692</v>
      </c>
      <c r="H472" s="12" t="s">
        <v>692</v>
      </c>
      <c r="I472" s="12" t="s">
        <v>692</v>
      </c>
      <c r="J472" s="64">
        <v>25780.799999999999</v>
      </c>
      <c r="K472" s="64">
        <v>3867.12</v>
      </c>
      <c r="L472" s="64">
        <v>21913.68</v>
      </c>
      <c r="M472" s="64">
        <v>21913.68</v>
      </c>
      <c r="N472" s="64">
        <v>0</v>
      </c>
      <c r="O472" s="66">
        <v>0</v>
      </c>
      <c r="P472" s="13">
        <f t="shared" si="15"/>
        <v>0.85000000000000009</v>
      </c>
      <c r="Q472" s="71"/>
      <c r="R472" s="71"/>
    </row>
    <row r="473" spans="1:18" x14ac:dyDescent="0.3">
      <c r="A473" s="11" t="s">
        <v>123</v>
      </c>
      <c r="B473" s="12" t="s">
        <v>474</v>
      </c>
      <c r="C473" s="12">
        <v>3807259</v>
      </c>
      <c r="D473" s="12" t="s">
        <v>574</v>
      </c>
      <c r="E473" s="41" t="s">
        <v>577</v>
      </c>
      <c r="F473" s="12" t="s">
        <v>692</v>
      </c>
      <c r="G473" s="12" t="s">
        <v>692</v>
      </c>
      <c r="H473" s="12" t="s">
        <v>692</v>
      </c>
      <c r="I473" s="12" t="s">
        <v>692</v>
      </c>
      <c r="J473" s="64">
        <v>25452</v>
      </c>
      <c r="K473" s="64">
        <v>3817.8</v>
      </c>
      <c r="L473" s="64">
        <v>21634.2</v>
      </c>
      <c r="M473" s="64">
        <v>21634.2</v>
      </c>
      <c r="N473" s="64">
        <v>0</v>
      </c>
      <c r="O473" s="66">
        <v>0</v>
      </c>
      <c r="P473" s="13">
        <f t="shared" si="15"/>
        <v>0.85</v>
      </c>
      <c r="Q473" s="71"/>
      <c r="R473" s="71"/>
    </row>
    <row r="474" spans="1:18" x14ac:dyDescent="0.3">
      <c r="A474" s="11" t="s">
        <v>123</v>
      </c>
      <c r="B474" s="12" t="s">
        <v>474</v>
      </c>
      <c r="C474" s="12">
        <v>3807259</v>
      </c>
      <c r="D474" s="12" t="s">
        <v>574</v>
      </c>
      <c r="E474" s="41" t="s">
        <v>578</v>
      </c>
      <c r="F474" s="12" t="s">
        <v>692</v>
      </c>
      <c r="G474" s="12" t="s">
        <v>692</v>
      </c>
      <c r="H474" s="12" t="s">
        <v>692</v>
      </c>
      <c r="I474" s="12" t="s">
        <v>692</v>
      </c>
      <c r="J474" s="64">
        <v>59901</v>
      </c>
      <c r="K474" s="64">
        <v>0</v>
      </c>
      <c r="L474" s="64">
        <v>59901</v>
      </c>
      <c r="M474" s="64">
        <v>50915.848878952784</v>
      </c>
      <c r="N474" s="64">
        <v>8985.1511210472163</v>
      </c>
      <c r="O474" s="66">
        <v>0</v>
      </c>
      <c r="P474" s="13">
        <f t="shared" si="15"/>
        <v>1</v>
      </c>
      <c r="Q474" s="71"/>
      <c r="R474" s="71"/>
    </row>
    <row r="475" spans="1:18" x14ac:dyDescent="0.3">
      <c r="A475" s="11" t="s">
        <v>123</v>
      </c>
      <c r="B475" s="12" t="s">
        <v>474</v>
      </c>
      <c r="C475" s="12">
        <v>3772037</v>
      </c>
      <c r="D475" s="12" t="s">
        <v>579</v>
      </c>
      <c r="E475" s="41" t="s">
        <v>580</v>
      </c>
      <c r="F475" s="12" t="s">
        <v>692</v>
      </c>
      <c r="G475" s="12" t="s">
        <v>692</v>
      </c>
      <c r="H475" s="12" t="s">
        <v>692</v>
      </c>
      <c r="I475" s="12" t="s">
        <v>692</v>
      </c>
      <c r="J475" s="64">
        <v>122065.2</v>
      </c>
      <c r="K475" s="64">
        <v>18309.78</v>
      </c>
      <c r="L475" s="64">
        <v>103755.42</v>
      </c>
      <c r="M475" s="64">
        <v>103755.42</v>
      </c>
      <c r="N475" s="64">
        <v>0</v>
      </c>
      <c r="O475" s="66">
        <v>0</v>
      </c>
      <c r="P475" s="13">
        <f t="shared" si="15"/>
        <v>0.85</v>
      </c>
      <c r="Q475" s="71"/>
      <c r="R475" s="71"/>
    </row>
    <row r="476" spans="1:18" x14ac:dyDescent="0.3">
      <c r="A476" s="11" t="s">
        <v>123</v>
      </c>
      <c r="B476" s="12" t="s">
        <v>474</v>
      </c>
      <c r="C476" s="12">
        <v>3772037</v>
      </c>
      <c r="D476" s="12" t="s">
        <v>579</v>
      </c>
      <c r="E476" s="41" t="s">
        <v>581</v>
      </c>
      <c r="F476" s="12" t="s">
        <v>692</v>
      </c>
      <c r="G476" s="12" t="s">
        <v>692</v>
      </c>
      <c r="H476" s="12" t="s">
        <v>692</v>
      </c>
      <c r="I476" s="12" t="s">
        <v>692</v>
      </c>
      <c r="J476" s="64">
        <v>121942.2</v>
      </c>
      <c r="K476" s="64">
        <v>0</v>
      </c>
      <c r="L476" s="64">
        <v>121942.2</v>
      </c>
      <c r="M476" s="64">
        <v>103650.86771785172</v>
      </c>
      <c r="N476" s="64">
        <v>18291.332282148272</v>
      </c>
      <c r="O476" s="66">
        <v>0</v>
      </c>
      <c r="P476" s="13">
        <f t="shared" si="15"/>
        <v>1</v>
      </c>
      <c r="Q476" s="71"/>
      <c r="R476" s="71"/>
    </row>
    <row r="477" spans="1:18" x14ac:dyDescent="0.3">
      <c r="A477" s="18" t="s">
        <v>123</v>
      </c>
      <c r="B477" s="18" t="s">
        <v>451</v>
      </c>
      <c r="C477" s="18">
        <v>3843935</v>
      </c>
      <c r="D477" s="18" t="s">
        <v>465</v>
      </c>
      <c r="E477" s="41" t="s">
        <v>675</v>
      </c>
      <c r="F477" s="12" t="s">
        <v>692</v>
      </c>
      <c r="G477" s="12" t="s">
        <v>692</v>
      </c>
      <c r="H477" s="12" t="s">
        <v>692</v>
      </c>
      <c r="I477" s="12" t="s">
        <v>692</v>
      </c>
      <c r="J477" s="67">
        <v>94650</v>
      </c>
      <c r="K477" s="67">
        <v>0</v>
      </c>
      <c r="L477" s="67">
        <v>94650</v>
      </c>
      <c r="M477" s="67">
        <v>80452.498340785503</v>
      </c>
      <c r="N477" s="67">
        <v>14197.501659214497</v>
      </c>
      <c r="O477" s="66">
        <v>0</v>
      </c>
      <c r="P477" s="13">
        <f t="shared" si="15"/>
        <v>1</v>
      </c>
      <c r="Q477" s="71"/>
      <c r="R477" s="71"/>
    </row>
    <row r="478" spans="1:18" x14ac:dyDescent="0.3">
      <c r="A478" s="11" t="s">
        <v>123</v>
      </c>
      <c r="B478" s="12" t="s">
        <v>601</v>
      </c>
      <c r="C478" s="12">
        <v>3847532</v>
      </c>
      <c r="D478" s="12" t="s">
        <v>648</v>
      </c>
      <c r="E478" s="41" t="s">
        <v>649</v>
      </c>
      <c r="F478" s="12" t="s">
        <v>692</v>
      </c>
      <c r="G478" s="12" t="s">
        <v>692</v>
      </c>
      <c r="H478" s="12" t="s">
        <v>692</v>
      </c>
      <c r="I478" s="12" t="s">
        <v>692</v>
      </c>
      <c r="J478" s="64">
        <v>78720</v>
      </c>
      <c r="K478" s="64">
        <v>0</v>
      </c>
      <c r="L478" s="64">
        <v>78720</v>
      </c>
      <c r="M478" s="64">
        <v>66911.997581564166</v>
      </c>
      <c r="N478" s="64">
        <v>11808.002418435834</v>
      </c>
      <c r="O478" s="66">
        <v>0</v>
      </c>
      <c r="P478" s="13">
        <f t="shared" si="15"/>
        <v>1</v>
      </c>
      <c r="Q478" s="71"/>
      <c r="R478" s="71"/>
    </row>
    <row r="479" spans="1:18" ht="29.55" x14ac:dyDescent="0.3">
      <c r="A479" s="11" t="s">
        <v>123</v>
      </c>
      <c r="B479" s="12" t="s">
        <v>601</v>
      </c>
      <c r="C479" s="12">
        <v>3847532</v>
      </c>
      <c r="D479" s="12" t="s">
        <v>648</v>
      </c>
      <c r="E479" s="41" t="s">
        <v>650</v>
      </c>
      <c r="F479" s="12" t="s">
        <v>692</v>
      </c>
      <c r="G479" s="12">
        <v>23650</v>
      </c>
      <c r="H479" s="12">
        <v>9257668</v>
      </c>
      <c r="I479" s="12" t="s">
        <v>692</v>
      </c>
      <c r="J479" s="64">
        <v>69198.080000000002</v>
      </c>
      <c r="K479" s="64">
        <v>10379.709999999999</v>
      </c>
      <c r="L479" s="64">
        <v>58818.37</v>
      </c>
      <c r="M479" s="64">
        <v>58818.37</v>
      </c>
      <c r="N479" s="64">
        <v>0</v>
      </c>
      <c r="O479" s="66">
        <v>0</v>
      </c>
      <c r="P479" s="13">
        <f t="shared" si="15"/>
        <v>0.85000002890253601</v>
      </c>
      <c r="Q479" s="71"/>
      <c r="R479" s="71"/>
    </row>
    <row r="480" spans="1:18" x14ac:dyDescent="0.3">
      <c r="A480" s="11" t="s">
        <v>123</v>
      </c>
      <c r="B480" s="12" t="s">
        <v>601</v>
      </c>
      <c r="C480" s="12">
        <v>3847532</v>
      </c>
      <c r="D480" s="12" t="s">
        <v>648</v>
      </c>
      <c r="E480" s="41" t="s">
        <v>651</v>
      </c>
      <c r="F480" s="50" t="s">
        <v>692</v>
      </c>
      <c r="G480" s="50">
        <v>23650</v>
      </c>
      <c r="H480" s="50">
        <v>9257678</v>
      </c>
      <c r="I480" s="50" t="s">
        <v>692</v>
      </c>
      <c r="J480" s="64">
        <v>23060.799999999999</v>
      </c>
      <c r="K480" s="64">
        <v>3459.12</v>
      </c>
      <c r="L480" s="64">
        <v>19601.68</v>
      </c>
      <c r="M480" s="64">
        <v>19601.68</v>
      </c>
      <c r="N480" s="64">
        <v>0</v>
      </c>
      <c r="O480" s="66">
        <v>0</v>
      </c>
      <c r="P480" s="13">
        <f t="shared" si="15"/>
        <v>0.85000000000000009</v>
      </c>
      <c r="Q480" s="71"/>
      <c r="R480" s="71"/>
    </row>
    <row r="481" spans="1:18" x14ac:dyDescent="0.3">
      <c r="A481" s="14" t="s">
        <v>123</v>
      </c>
      <c r="B481" s="11" t="s">
        <v>164</v>
      </c>
      <c r="C481" s="14">
        <v>3821687</v>
      </c>
      <c r="D481" s="14" t="s">
        <v>358</v>
      </c>
      <c r="E481" s="42" t="s">
        <v>359</v>
      </c>
      <c r="F481" s="50" t="s">
        <v>692</v>
      </c>
      <c r="G481" s="50" t="s">
        <v>692</v>
      </c>
      <c r="H481" s="50" t="s">
        <v>692</v>
      </c>
      <c r="I481" s="50" t="s">
        <v>692</v>
      </c>
      <c r="J481" s="67">
        <v>119064</v>
      </c>
      <c r="K481" s="67">
        <v>0</v>
      </c>
      <c r="L481" s="67">
        <v>119064</v>
      </c>
      <c r="M481" s="67">
        <v>100600.37875727848</v>
      </c>
      <c r="N481" s="67">
        <v>18463.621242721521</v>
      </c>
      <c r="O481" s="66">
        <v>0</v>
      </c>
      <c r="P481" s="13">
        <f t="shared" si="15"/>
        <v>1</v>
      </c>
      <c r="Q481" s="71"/>
      <c r="R481" s="71"/>
    </row>
    <row r="482" spans="1:18" x14ac:dyDescent="0.3">
      <c r="A482" s="14" t="s">
        <v>123</v>
      </c>
      <c r="B482" s="11" t="s">
        <v>164</v>
      </c>
      <c r="C482" s="14">
        <v>3821687</v>
      </c>
      <c r="D482" s="14" t="s">
        <v>358</v>
      </c>
      <c r="E482" s="42" t="s">
        <v>360</v>
      </c>
      <c r="F482" s="29" t="s">
        <v>692</v>
      </c>
      <c r="G482" s="29" t="s">
        <v>692</v>
      </c>
      <c r="H482" s="29" t="s">
        <v>692</v>
      </c>
      <c r="I482" s="29" t="s">
        <v>692</v>
      </c>
      <c r="J482" s="67">
        <v>93449.25</v>
      </c>
      <c r="K482" s="67">
        <v>14491.46</v>
      </c>
      <c r="L482" s="67">
        <v>78957.789999999994</v>
      </c>
      <c r="M482" s="67">
        <v>78957.789999999994</v>
      </c>
      <c r="N482" s="67">
        <v>0</v>
      </c>
      <c r="O482" s="66">
        <v>0</v>
      </c>
      <c r="P482" s="13">
        <f t="shared" si="15"/>
        <v>0.84492695232974036</v>
      </c>
      <c r="Q482" s="71"/>
      <c r="R482" s="71"/>
    </row>
    <row r="483" spans="1:18" ht="44.35" x14ac:dyDescent="0.3">
      <c r="A483" s="15" t="s">
        <v>123</v>
      </c>
      <c r="B483" s="12" t="s">
        <v>5</v>
      </c>
      <c r="C483" s="19">
        <v>3846141</v>
      </c>
      <c r="D483" s="20" t="s">
        <v>133</v>
      </c>
      <c r="E483" s="44" t="s">
        <v>134</v>
      </c>
      <c r="F483" s="12" t="s">
        <v>692</v>
      </c>
      <c r="G483" s="12" t="s">
        <v>692</v>
      </c>
      <c r="H483" s="12" t="s">
        <v>692</v>
      </c>
      <c r="I483" s="12" t="s">
        <v>692</v>
      </c>
      <c r="J483" s="64">
        <v>149999.01</v>
      </c>
      <c r="K483" s="64">
        <v>0</v>
      </c>
      <c r="L483" s="64">
        <v>149999.01</v>
      </c>
      <c r="M483" s="64">
        <v>126963.3716870663</v>
      </c>
      <c r="N483" s="64">
        <v>23035.638312933705</v>
      </c>
      <c r="O483" s="66">
        <v>0</v>
      </c>
      <c r="P483" s="13">
        <f t="shared" si="15"/>
        <v>1</v>
      </c>
      <c r="Q483" s="71"/>
      <c r="R483" s="71"/>
    </row>
    <row r="484" spans="1:18" x14ac:dyDescent="0.3">
      <c r="A484" s="11" t="s">
        <v>123</v>
      </c>
      <c r="B484" s="12" t="s">
        <v>474</v>
      </c>
      <c r="C484" s="12">
        <v>3842242</v>
      </c>
      <c r="D484" s="12" t="s">
        <v>582</v>
      </c>
      <c r="E484" s="41" t="s">
        <v>545</v>
      </c>
      <c r="F484" s="12" t="s">
        <v>692</v>
      </c>
      <c r="G484" s="12" t="s">
        <v>692</v>
      </c>
      <c r="H484" s="12" t="s">
        <v>692</v>
      </c>
      <c r="I484" s="12" t="s">
        <v>692</v>
      </c>
      <c r="J484" s="64">
        <v>98340</v>
      </c>
      <c r="K484" s="64">
        <v>0</v>
      </c>
      <c r="L484" s="64">
        <v>98340</v>
      </c>
      <c r="M484" s="64">
        <v>83588.998159566894</v>
      </c>
      <c r="N484" s="64">
        <v>14751.001840433106</v>
      </c>
      <c r="O484" s="66">
        <v>0</v>
      </c>
      <c r="P484" s="13">
        <f t="shared" si="15"/>
        <v>1</v>
      </c>
      <c r="Q484" s="71"/>
      <c r="R484" s="71"/>
    </row>
    <row r="485" spans="1:18" x14ac:dyDescent="0.3">
      <c r="A485" s="11" t="s">
        <v>123</v>
      </c>
      <c r="B485" s="12" t="s">
        <v>474</v>
      </c>
      <c r="C485" s="12">
        <v>3842242</v>
      </c>
      <c r="D485" s="12" t="s">
        <v>582</v>
      </c>
      <c r="E485" s="41" t="s">
        <v>480</v>
      </c>
      <c r="F485" s="49" t="s">
        <v>692</v>
      </c>
      <c r="G485" s="49" t="s">
        <v>692</v>
      </c>
      <c r="H485" s="49" t="s">
        <v>692</v>
      </c>
      <c r="I485" s="49" t="s">
        <v>692</v>
      </c>
      <c r="J485" s="64">
        <v>30750</v>
      </c>
      <c r="K485" s="64">
        <v>4612.5</v>
      </c>
      <c r="L485" s="64">
        <v>26137.5</v>
      </c>
      <c r="M485" s="64">
        <v>26137.5</v>
      </c>
      <c r="N485" s="64">
        <v>0</v>
      </c>
      <c r="O485" s="66">
        <v>0</v>
      </c>
      <c r="P485" s="13">
        <f t="shared" si="15"/>
        <v>0.85</v>
      </c>
      <c r="Q485" s="71"/>
      <c r="R485" s="71"/>
    </row>
    <row r="486" spans="1:18" ht="44.35" x14ac:dyDescent="0.3">
      <c r="A486" s="18" t="s">
        <v>123</v>
      </c>
      <c r="B486" s="18" t="s">
        <v>451</v>
      </c>
      <c r="C486" s="18">
        <v>3846117</v>
      </c>
      <c r="D486" s="18" t="s">
        <v>466</v>
      </c>
      <c r="E486" s="40" t="s">
        <v>134</v>
      </c>
      <c r="F486" s="49" t="s">
        <v>692</v>
      </c>
      <c r="G486" s="49" t="s">
        <v>692</v>
      </c>
      <c r="H486" s="49" t="s">
        <v>692</v>
      </c>
      <c r="I486" s="49" t="s">
        <v>692</v>
      </c>
      <c r="J486" s="67">
        <v>149737</v>
      </c>
      <c r="K486" s="67">
        <v>0</v>
      </c>
      <c r="L486" s="67">
        <v>149737</v>
      </c>
      <c r="M486" s="67">
        <v>127276.44737511038</v>
      </c>
      <c r="N486" s="67">
        <v>22460.55262488962</v>
      </c>
      <c r="O486" s="66">
        <v>0</v>
      </c>
      <c r="P486" s="13">
        <f t="shared" si="15"/>
        <v>1</v>
      </c>
      <c r="Q486" s="71"/>
      <c r="R486" s="71"/>
    </row>
    <row r="487" spans="1:18" x14ac:dyDescent="0.3">
      <c r="A487" s="18" t="s">
        <v>123</v>
      </c>
      <c r="B487" s="18" t="s">
        <v>451</v>
      </c>
      <c r="C487" s="18">
        <v>3846117</v>
      </c>
      <c r="D487" s="18" t="s">
        <v>466</v>
      </c>
      <c r="E487" s="40" t="s">
        <v>467</v>
      </c>
      <c r="F487" s="50" t="s">
        <v>692</v>
      </c>
      <c r="G487" s="50">
        <v>23650</v>
      </c>
      <c r="H487" s="50">
        <v>9257766</v>
      </c>
      <c r="I487" s="50" t="s">
        <v>692</v>
      </c>
      <c r="J487" s="67">
        <v>49266</v>
      </c>
      <c r="K487" s="67">
        <v>7389.9</v>
      </c>
      <c r="L487" s="67">
        <v>41876.1</v>
      </c>
      <c r="M487" s="67">
        <v>41876.1</v>
      </c>
      <c r="N487" s="67">
        <v>0</v>
      </c>
      <c r="O487" s="66">
        <v>0</v>
      </c>
      <c r="P487" s="13">
        <f t="shared" si="15"/>
        <v>0.85</v>
      </c>
      <c r="Q487" s="71"/>
      <c r="R487" s="71"/>
    </row>
    <row r="488" spans="1:18" x14ac:dyDescent="0.3">
      <c r="A488" s="14" t="s">
        <v>123</v>
      </c>
      <c r="B488" s="11" t="s">
        <v>164</v>
      </c>
      <c r="C488" s="14">
        <v>3842932</v>
      </c>
      <c r="D488" s="14" t="s">
        <v>361</v>
      </c>
      <c r="E488" s="42" t="s">
        <v>136</v>
      </c>
      <c r="F488" s="50" t="s">
        <v>692</v>
      </c>
      <c r="G488" s="50" t="s">
        <v>692</v>
      </c>
      <c r="H488" s="50" t="s">
        <v>692</v>
      </c>
      <c r="I488" s="50" t="s">
        <v>692</v>
      </c>
      <c r="J488" s="67">
        <v>69104</v>
      </c>
      <c r="K488" s="67">
        <v>0</v>
      </c>
      <c r="L488" s="67">
        <v>69104</v>
      </c>
      <c r="M488" s="67">
        <v>58387.829853213167</v>
      </c>
      <c r="N488" s="67">
        <v>10716.170146786833</v>
      </c>
      <c r="O488" s="66">
        <v>0</v>
      </c>
      <c r="P488" s="13">
        <f t="shared" si="15"/>
        <v>1</v>
      </c>
      <c r="Q488" s="71"/>
      <c r="R488" s="71"/>
    </row>
    <row r="489" spans="1:18" x14ac:dyDescent="0.3">
      <c r="A489" s="14" t="s">
        <v>123</v>
      </c>
      <c r="B489" s="11" t="s">
        <v>164</v>
      </c>
      <c r="C489" s="14">
        <v>3842932</v>
      </c>
      <c r="D489" s="14" t="s">
        <v>361</v>
      </c>
      <c r="E489" s="42" t="s">
        <v>362</v>
      </c>
      <c r="F489" s="50" t="s">
        <v>692</v>
      </c>
      <c r="G489" s="50" t="s">
        <v>692</v>
      </c>
      <c r="H489" s="50" t="s">
        <v>692</v>
      </c>
      <c r="I489" s="50" t="s">
        <v>692</v>
      </c>
      <c r="J489" s="67">
        <v>24080.06</v>
      </c>
      <c r="K489" s="67">
        <v>0</v>
      </c>
      <c r="L489" s="67">
        <v>24080.06</v>
      </c>
      <c r="M489" s="67">
        <v>20345.890919992537</v>
      </c>
      <c r="N489" s="67">
        <v>3734.1690800074648</v>
      </c>
      <c r="O489" s="66">
        <v>0</v>
      </c>
      <c r="P489" s="13">
        <f t="shared" si="15"/>
        <v>1</v>
      </c>
      <c r="Q489" s="71"/>
      <c r="R489" s="71"/>
    </row>
    <row r="490" spans="1:18" x14ac:dyDescent="0.3">
      <c r="A490" s="14" t="s">
        <v>123</v>
      </c>
      <c r="B490" s="11" t="s">
        <v>164</v>
      </c>
      <c r="C490" s="14">
        <v>3842932</v>
      </c>
      <c r="D490" s="14" t="s">
        <v>361</v>
      </c>
      <c r="E490" s="42" t="s">
        <v>363</v>
      </c>
      <c r="F490" s="50" t="s">
        <v>692</v>
      </c>
      <c r="G490" s="50" t="s">
        <v>692</v>
      </c>
      <c r="H490" s="50" t="s">
        <v>692</v>
      </c>
      <c r="I490" s="50" t="s">
        <v>692</v>
      </c>
      <c r="J490" s="67">
        <v>22963.86</v>
      </c>
      <c r="K490" s="67">
        <v>0</v>
      </c>
      <c r="L490" s="67">
        <v>22963.86</v>
      </c>
      <c r="M490" s="67">
        <v>19402.783492316041</v>
      </c>
      <c r="N490" s="67">
        <v>3561.0765076839598</v>
      </c>
      <c r="O490" s="66">
        <v>0</v>
      </c>
      <c r="P490" s="13">
        <f t="shared" si="15"/>
        <v>1</v>
      </c>
      <c r="Q490" s="71"/>
      <c r="R490" s="71"/>
    </row>
    <row r="491" spans="1:18" ht="29.55" x14ac:dyDescent="0.3">
      <c r="A491" s="14" t="s">
        <v>123</v>
      </c>
      <c r="B491" s="11" t="s">
        <v>164</v>
      </c>
      <c r="C491" s="14">
        <v>3842932</v>
      </c>
      <c r="D491" s="14" t="s">
        <v>361</v>
      </c>
      <c r="E491" s="42" t="s">
        <v>364</v>
      </c>
      <c r="F491" s="50" t="s">
        <v>692</v>
      </c>
      <c r="G491" s="50" t="s">
        <v>692</v>
      </c>
      <c r="H491" s="50" t="s">
        <v>692</v>
      </c>
      <c r="I491" s="50" t="s">
        <v>692</v>
      </c>
      <c r="J491" s="67">
        <v>13675.2</v>
      </c>
      <c r="K491" s="67">
        <v>2120.66</v>
      </c>
      <c r="L491" s="67">
        <v>11554.54</v>
      </c>
      <c r="M491" s="67">
        <v>11554.54</v>
      </c>
      <c r="N491" s="67">
        <v>0</v>
      </c>
      <c r="O491" s="66">
        <v>0</v>
      </c>
      <c r="P491" s="13">
        <f t="shared" si="15"/>
        <v>0.84492658242658247</v>
      </c>
      <c r="Q491" s="71"/>
      <c r="R491" s="71"/>
    </row>
    <row r="492" spans="1:18" x14ac:dyDescent="0.3">
      <c r="A492" s="14" t="s">
        <v>123</v>
      </c>
      <c r="B492" s="11" t="s">
        <v>164</v>
      </c>
      <c r="C492" s="14">
        <v>3842932</v>
      </c>
      <c r="D492" s="14" t="s">
        <v>361</v>
      </c>
      <c r="E492" s="42" t="s">
        <v>365</v>
      </c>
      <c r="F492" s="29" t="s">
        <v>692</v>
      </c>
      <c r="G492" s="29" t="s">
        <v>692</v>
      </c>
      <c r="H492" s="29" t="s">
        <v>692</v>
      </c>
      <c r="I492" s="29" t="s">
        <v>692</v>
      </c>
      <c r="J492" s="67">
        <v>66297</v>
      </c>
      <c r="K492" s="67">
        <v>10280.879999999997</v>
      </c>
      <c r="L492" s="67">
        <v>56016.12</v>
      </c>
      <c r="M492" s="67">
        <v>56016.12</v>
      </c>
      <c r="N492" s="67">
        <v>0</v>
      </c>
      <c r="O492" s="66">
        <v>0</v>
      </c>
      <c r="P492" s="13">
        <f t="shared" si="15"/>
        <v>0.84492691977012535</v>
      </c>
      <c r="Q492" s="71"/>
      <c r="R492" s="71"/>
    </row>
    <row r="493" spans="1:18" x14ac:dyDescent="0.3">
      <c r="A493" s="15" t="s">
        <v>123</v>
      </c>
      <c r="B493" s="12" t="s">
        <v>5</v>
      </c>
      <c r="C493" s="16">
        <v>3859153</v>
      </c>
      <c r="D493" s="17" t="s">
        <v>135</v>
      </c>
      <c r="E493" s="43" t="s">
        <v>136</v>
      </c>
      <c r="F493" s="29" t="s">
        <v>692</v>
      </c>
      <c r="G493" s="29" t="s">
        <v>692</v>
      </c>
      <c r="H493" s="29" t="s">
        <v>692</v>
      </c>
      <c r="I493" s="29" t="s">
        <v>692</v>
      </c>
      <c r="J493" s="64">
        <v>58658.04</v>
      </c>
      <c r="K493" s="64">
        <v>0</v>
      </c>
      <c r="L493" s="64">
        <v>58658.04</v>
      </c>
      <c r="M493" s="64">
        <v>49649.811255119632</v>
      </c>
      <c r="N493" s="64">
        <v>9008.228744880369</v>
      </c>
      <c r="O493" s="66">
        <v>0</v>
      </c>
      <c r="P493" s="13">
        <f t="shared" si="15"/>
        <v>1</v>
      </c>
      <c r="Q493" s="71"/>
      <c r="R493" s="71"/>
    </row>
    <row r="494" spans="1:18" x14ac:dyDescent="0.3">
      <c r="A494" s="15" t="s">
        <v>123</v>
      </c>
      <c r="B494" s="12" t="s">
        <v>5</v>
      </c>
      <c r="C494" s="16">
        <v>3859153</v>
      </c>
      <c r="D494" s="17" t="s">
        <v>135</v>
      </c>
      <c r="E494" s="43" t="s">
        <v>137</v>
      </c>
      <c r="F494" s="29" t="s">
        <v>692</v>
      </c>
      <c r="G494" s="29">
        <v>23650</v>
      </c>
      <c r="H494" s="29">
        <v>9257816</v>
      </c>
      <c r="I494" s="29" t="s">
        <v>692</v>
      </c>
      <c r="J494" s="64">
        <v>58169.16</v>
      </c>
      <c r="K494" s="64">
        <v>8933.15</v>
      </c>
      <c r="L494" s="64">
        <v>49236.01</v>
      </c>
      <c r="M494" s="64">
        <v>49236.01</v>
      </c>
      <c r="N494" s="64">
        <v>0</v>
      </c>
      <c r="O494" s="66">
        <v>0</v>
      </c>
      <c r="P494" s="13">
        <f t="shared" si="15"/>
        <v>0.84642807288260646</v>
      </c>
      <c r="Q494" s="71"/>
      <c r="R494" s="71"/>
    </row>
    <row r="495" spans="1:18" x14ac:dyDescent="0.3">
      <c r="A495" s="15" t="s">
        <v>123</v>
      </c>
      <c r="B495" s="12" t="s">
        <v>5</v>
      </c>
      <c r="C495" s="16">
        <v>3859153</v>
      </c>
      <c r="D495" s="17" t="s">
        <v>135</v>
      </c>
      <c r="E495" s="43" t="s">
        <v>103</v>
      </c>
      <c r="F495" s="12" t="s">
        <v>692</v>
      </c>
      <c r="G495" s="12">
        <v>23650</v>
      </c>
      <c r="H495" s="12">
        <v>9257837</v>
      </c>
      <c r="I495" s="12" t="s">
        <v>692</v>
      </c>
      <c r="J495" s="64">
        <v>73800</v>
      </c>
      <c r="K495" s="64">
        <v>11333.61</v>
      </c>
      <c r="L495" s="64">
        <v>62466.39</v>
      </c>
      <c r="M495" s="64">
        <v>62466.39</v>
      </c>
      <c r="N495" s="64">
        <v>0</v>
      </c>
      <c r="O495" s="66">
        <v>0</v>
      </c>
      <c r="P495" s="13">
        <f t="shared" si="15"/>
        <v>0.84642804878048783</v>
      </c>
      <c r="Q495" s="71"/>
      <c r="R495" s="71"/>
    </row>
    <row r="496" spans="1:18" x14ac:dyDescent="0.3">
      <c r="A496" s="11" t="s">
        <v>123</v>
      </c>
      <c r="B496" s="12" t="s">
        <v>601</v>
      </c>
      <c r="C496" s="12">
        <v>3849447</v>
      </c>
      <c r="D496" s="12" t="s">
        <v>652</v>
      </c>
      <c r="E496" s="41" t="s">
        <v>653</v>
      </c>
      <c r="F496" s="12" t="s">
        <v>692</v>
      </c>
      <c r="G496" s="12" t="s">
        <v>692</v>
      </c>
      <c r="H496" s="12" t="s">
        <v>692</v>
      </c>
      <c r="I496" s="12" t="s">
        <v>692</v>
      </c>
      <c r="J496" s="64">
        <v>92250</v>
      </c>
      <c r="K496" s="64">
        <v>0</v>
      </c>
      <c r="L496" s="64">
        <v>92250</v>
      </c>
      <c r="M496" s="64">
        <v>78412.497165895504</v>
      </c>
      <c r="N496" s="64">
        <v>13837.502834104496</v>
      </c>
      <c r="O496" s="66">
        <v>0</v>
      </c>
      <c r="P496" s="13">
        <f t="shared" si="15"/>
        <v>1</v>
      </c>
      <c r="Q496" s="71"/>
      <c r="R496" s="71"/>
    </row>
    <row r="497" spans="1:18" x14ac:dyDescent="0.3">
      <c r="A497" s="11" t="s">
        <v>123</v>
      </c>
      <c r="B497" s="12" t="s">
        <v>601</v>
      </c>
      <c r="C497" s="12">
        <v>3849447</v>
      </c>
      <c r="D497" s="12" t="s">
        <v>652</v>
      </c>
      <c r="E497" s="41" t="s">
        <v>127</v>
      </c>
      <c r="F497" s="12" t="s">
        <v>692</v>
      </c>
      <c r="G497" s="12" t="s">
        <v>692</v>
      </c>
      <c r="H497" s="12" t="s">
        <v>692</v>
      </c>
      <c r="I497" s="12" t="s">
        <v>692</v>
      </c>
      <c r="J497" s="64">
        <v>65369.96</v>
      </c>
      <c r="K497" s="64">
        <v>0</v>
      </c>
      <c r="L497" s="64">
        <v>65369.96</v>
      </c>
      <c r="M497" s="64">
        <v>55564.463991704091</v>
      </c>
      <c r="N497" s="64">
        <v>9805.4960082959078</v>
      </c>
      <c r="O497" s="66">
        <v>0</v>
      </c>
      <c r="P497" s="13">
        <f t="shared" si="15"/>
        <v>1</v>
      </c>
      <c r="Q497" s="71"/>
      <c r="R497" s="71"/>
    </row>
    <row r="498" spans="1:18" x14ac:dyDescent="0.3">
      <c r="A498" s="11" t="s">
        <v>123</v>
      </c>
      <c r="B498" s="12" t="s">
        <v>601</v>
      </c>
      <c r="C498" s="12">
        <v>3849447</v>
      </c>
      <c r="D498" s="12" t="s">
        <v>652</v>
      </c>
      <c r="E498" s="41" t="s">
        <v>654</v>
      </c>
      <c r="F498" s="12" t="s">
        <v>692</v>
      </c>
      <c r="G498" s="12" t="s">
        <v>692</v>
      </c>
      <c r="H498" s="12" t="s">
        <v>692</v>
      </c>
      <c r="I498" s="12" t="s">
        <v>692</v>
      </c>
      <c r="J498" s="64">
        <v>92138.44</v>
      </c>
      <c r="K498" s="64">
        <v>0</v>
      </c>
      <c r="L498" s="64">
        <v>92138.44</v>
      </c>
      <c r="M498" s="64">
        <v>78317.671169322857</v>
      </c>
      <c r="N498" s="64">
        <v>13820.768830677145</v>
      </c>
      <c r="O498" s="66">
        <v>0</v>
      </c>
      <c r="P498" s="13">
        <f t="shared" si="15"/>
        <v>1</v>
      </c>
      <c r="Q498" s="71"/>
      <c r="R498" s="71"/>
    </row>
    <row r="499" spans="1:18" x14ac:dyDescent="0.3">
      <c r="A499" s="11" t="s">
        <v>123</v>
      </c>
      <c r="B499" s="12" t="s">
        <v>601</v>
      </c>
      <c r="C499" s="12">
        <v>3849447</v>
      </c>
      <c r="D499" s="12" t="s">
        <v>652</v>
      </c>
      <c r="E499" s="41" t="s">
        <v>655</v>
      </c>
      <c r="F499" s="29" t="s">
        <v>692</v>
      </c>
      <c r="G499" s="29" t="s">
        <v>692</v>
      </c>
      <c r="H499" s="29" t="s">
        <v>692</v>
      </c>
      <c r="I499" s="29" t="s">
        <v>692</v>
      </c>
      <c r="J499" s="64">
        <v>15006</v>
      </c>
      <c r="K499" s="64">
        <v>0</v>
      </c>
      <c r="L499" s="64">
        <v>15006</v>
      </c>
      <c r="M499" s="64">
        <v>12755.099538985669</v>
      </c>
      <c r="N499" s="64">
        <v>2250.9004610143311</v>
      </c>
      <c r="O499" s="66">
        <v>0</v>
      </c>
      <c r="P499" s="13">
        <f t="shared" si="15"/>
        <v>1</v>
      </c>
      <c r="Q499" s="71"/>
      <c r="R499" s="71"/>
    </row>
    <row r="500" spans="1:18" x14ac:dyDescent="0.3">
      <c r="A500" s="15" t="s">
        <v>123</v>
      </c>
      <c r="B500" s="12" t="s">
        <v>5</v>
      </c>
      <c r="C500" s="16">
        <v>3756018</v>
      </c>
      <c r="D500" s="17" t="s">
        <v>138</v>
      </c>
      <c r="E500" s="43" t="s">
        <v>139</v>
      </c>
      <c r="F500" s="29" t="s">
        <v>692</v>
      </c>
      <c r="G500" s="29" t="s">
        <v>692</v>
      </c>
      <c r="H500" s="29" t="s">
        <v>692</v>
      </c>
      <c r="I500" s="29" t="s">
        <v>692</v>
      </c>
      <c r="J500" s="64">
        <v>120901.54</v>
      </c>
      <c r="K500" s="64">
        <v>0</v>
      </c>
      <c r="L500" s="64">
        <v>120901.54</v>
      </c>
      <c r="M500" s="64">
        <v>102334.45647780417</v>
      </c>
      <c r="N500" s="64">
        <v>18567.083522195826</v>
      </c>
      <c r="O500" s="66">
        <v>0</v>
      </c>
      <c r="P500" s="13">
        <f t="shared" si="15"/>
        <v>1</v>
      </c>
      <c r="Q500" s="71"/>
      <c r="R500" s="71"/>
    </row>
    <row r="501" spans="1:18" ht="29.55" x14ac:dyDescent="0.3">
      <c r="A501" s="15" t="s">
        <v>123</v>
      </c>
      <c r="B501" s="12" t="s">
        <v>5</v>
      </c>
      <c r="C501" s="21">
        <v>3756018</v>
      </c>
      <c r="D501" s="22" t="s">
        <v>138</v>
      </c>
      <c r="E501" s="45" t="s">
        <v>140</v>
      </c>
      <c r="F501" s="29" t="s">
        <v>692</v>
      </c>
      <c r="G501" s="29" t="s">
        <v>692</v>
      </c>
      <c r="H501" s="29" t="s">
        <v>692</v>
      </c>
      <c r="I501" s="29" t="s">
        <v>692</v>
      </c>
      <c r="J501" s="64">
        <v>90720</v>
      </c>
      <c r="K501" s="64">
        <v>13932.05</v>
      </c>
      <c r="L501" s="64">
        <v>76787.95</v>
      </c>
      <c r="M501" s="64">
        <v>76787.95</v>
      </c>
      <c r="N501" s="64">
        <v>0</v>
      </c>
      <c r="O501" s="66">
        <v>0</v>
      </c>
      <c r="P501" s="13">
        <f t="shared" si="15"/>
        <v>0.84642802028218689</v>
      </c>
      <c r="Q501" s="71"/>
      <c r="R501" s="71"/>
    </row>
    <row r="502" spans="1:18" x14ac:dyDescent="0.3">
      <c r="A502" s="15" t="s">
        <v>123</v>
      </c>
      <c r="B502" s="12" t="s">
        <v>5</v>
      </c>
      <c r="C502" s="16">
        <v>3756018</v>
      </c>
      <c r="D502" s="17" t="s">
        <v>138</v>
      </c>
      <c r="E502" s="43" t="s">
        <v>141</v>
      </c>
      <c r="F502" s="50" t="s">
        <v>692</v>
      </c>
      <c r="G502" s="50" t="s">
        <v>692</v>
      </c>
      <c r="H502" s="50" t="s">
        <v>692</v>
      </c>
      <c r="I502" s="50" t="s">
        <v>692</v>
      </c>
      <c r="J502" s="64">
        <v>15001.08</v>
      </c>
      <c r="K502" s="64">
        <v>0</v>
      </c>
      <c r="L502" s="64">
        <v>15001.08</v>
      </c>
      <c r="M502" s="64">
        <v>12697.335107394485</v>
      </c>
      <c r="N502" s="64">
        <v>2303.7448926055149</v>
      </c>
      <c r="O502" s="66">
        <v>0</v>
      </c>
      <c r="P502" s="13">
        <f t="shared" si="15"/>
        <v>1</v>
      </c>
      <c r="Q502" s="71"/>
      <c r="R502" s="71"/>
    </row>
    <row r="503" spans="1:18" x14ac:dyDescent="0.3">
      <c r="A503" s="14" t="s">
        <v>123</v>
      </c>
      <c r="B503" s="11" t="s">
        <v>164</v>
      </c>
      <c r="C503" s="14">
        <v>3864298</v>
      </c>
      <c r="D503" s="14" t="s">
        <v>366</v>
      </c>
      <c r="E503" s="42" t="s">
        <v>367</v>
      </c>
      <c r="F503" s="50" t="s">
        <v>692</v>
      </c>
      <c r="G503" s="50" t="s">
        <v>692</v>
      </c>
      <c r="H503" s="50" t="s">
        <v>692</v>
      </c>
      <c r="I503" s="50" t="s">
        <v>692</v>
      </c>
      <c r="J503" s="67">
        <v>55596</v>
      </c>
      <c r="K503" s="67">
        <v>0</v>
      </c>
      <c r="L503" s="67">
        <v>55596</v>
      </c>
      <c r="M503" s="67">
        <v>46974.557023026726</v>
      </c>
      <c r="N503" s="67">
        <v>8621.4429769732742</v>
      </c>
      <c r="O503" s="66">
        <v>0</v>
      </c>
      <c r="P503" s="13">
        <f t="shared" si="15"/>
        <v>1</v>
      </c>
      <c r="Q503" s="71"/>
      <c r="R503" s="71"/>
    </row>
    <row r="504" spans="1:18" x14ac:dyDescent="0.3">
      <c r="A504" s="14" t="s">
        <v>123</v>
      </c>
      <c r="B504" s="11" t="s">
        <v>164</v>
      </c>
      <c r="C504" s="14">
        <v>3864298</v>
      </c>
      <c r="D504" s="14" t="s">
        <v>366</v>
      </c>
      <c r="E504" s="42" t="s">
        <v>368</v>
      </c>
      <c r="F504" s="50" t="s">
        <v>692</v>
      </c>
      <c r="G504" s="50" t="s">
        <v>692</v>
      </c>
      <c r="H504" s="50" t="s">
        <v>692</v>
      </c>
      <c r="I504" s="50" t="s">
        <v>692</v>
      </c>
      <c r="J504" s="67">
        <v>45018</v>
      </c>
      <c r="K504" s="67">
        <v>0</v>
      </c>
      <c r="L504" s="67">
        <v>45018</v>
      </c>
      <c r="M504" s="67">
        <v>38036.920067318104</v>
      </c>
      <c r="N504" s="67">
        <v>6981.079932681896</v>
      </c>
      <c r="O504" s="66">
        <v>0</v>
      </c>
      <c r="P504" s="13">
        <f t="shared" si="15"/>
        <v>1</v>
      </c>
      <c r="Q504" s="71"/>
      <c r="R504" s="71"/>
    </row>
    <row r="505" spans="1:18" x14ac:dyDescent="0.3">
      <c r="A505" s="14" t="s">
        <v>123</v>
      </c>
      <c r="B505" s="11" t="s">
        <v>164</v>
      </c>
      <c r="C505" s="14">
        <v>3864298</v>
      </c>
      <c r="D505" s="14" t="s">
        <v>366</v>
      </c>
      <c r="E505" s="42" t="s">
        <v>201</v>
      </c>
      <c r="F505" s="50" t="s">
        <v>692</v>
      </c>
      <c r="G505" s="50" t="s">
        <v>692</v>
      </c>
      <c r="H505" s="50" t="s">
        <v>692</v>
      </c>
      <c r="I505" s="50" t="s">
        <v>692</v>
      </c>
      <c r="J505" s="67">
        <v>38622</v>
      </c>
      <c r="K505" s="67">
        <v>0</v>
      </c>
      <c r="L505" s="67">
        <v>38622</v>
      </c>
      <c r="M505" s="67">
        <v>32632.767489447771</v>
      </c>
      <c r="N505" s="67">
        <v>5989.2325105522286</v>
      </c>
      <c r="O505" s="66">
        <v>0</v>
      </c>
      <c r="P505" s="13">
        <f t="shared" si="15"/>
        <v>1</v>
      </c>
      <c r="Q505" s="71"/>
      <c r="R505" s="71"/>
    </row>
    <row r="506" spans="1:18" x14ac:dyDescent="0.3">
      <c r="A506" s="14" t="s">
        <v>123</v>
      </c>
      <c r="B506" s="11" t="s">
        <v>164</v>
      </c>
      <c r="C506" s="14">
        <v>3864298</v>
      </c>
      <c r="D506" s="14" t="s">
        <v>366</v>
      </c>
      <c r="E506" s="42" t="s">
        <v>369</v>
      </c>
      <c r="F506" s="50" t="s">
        <v>692</v>
      </c>
      <c r="G506" s="50" t="s">
        <v>692</v>
      </c>
      <c r="H506" s="50" t="s">
        <v>692</v>
      </c>
      <c r="I506" s="50" t="s">
        <v>692</v>
      </c>
      <c r="J506" s="67">
        <v>35670</v>
      </c>
      <c r="K506" s="67">
        <v>0</v>
      </c>
      <c r="L506" s="67">
        <v>35670</v>
      </c>
      <c r="M506" s="67">
        <v>30138.54322273839</v>
      </c>
      <c r="N506" s="67">
        <v>5531.4567772616101</v>
      </c>
      <c r="O506" s="66">
        <v>0</v>
      </c>
      <c r="P506" s="13">
        <f t="shared" si="15"/>
        <v>1</v>
      </c>
      <c r="Q506" s="71"/>
      <c r="R506" s="71"/>
    </row>
    <row r="507" spans="1:18" x14ac:dyDescent="0.3">
      <c r="A507" s="14" t="s">
        <v>123</v>
      </c>
      <c r="B507" s="11" t="s">
        <v>164</v>
      </c>
      <c r="C507" s="14">
        <v>3864298</v>
      </c>
      <c r="D507" s="14" t="s">
        <v>366</v>
      </c>
      <c r="E507" s="42" t="s">
        <v>363</v>
      </c>
      <c r="F507" s="50" t="s">
        <v>692</v>
      </c>
      <c r="G507" s="50" t="s">
        <v>692</v>
      </c>
      <c r="H507" s="50" t="s">
        <v>692</v>
      </c>
      <c r="I507" s="50" t="s">
        <v>692</v>
      </c>
      <c r="J507" s="67">
        <v>39942.730000000003</v>
      </c>
      <c r="K507" s="67">
        <v>0</v>
      </c>
      <c r="L507" s="67">
        <v>39942.730000000003</v>
      </c>
      <c r="M507" s="67">
        <v>33748.687819993538</v>
      </c>
      <c r="N507" s="67">
        <v>6194.0421800064651</v>
      </c>
      <c r="O507" s="66">
        <v>0</v>
      </c>
      <c r="P507" s="13">
        <f t="shared" si="15"/>
        <v>1</v>
      </c>
      <c r="Q507" s="71"/>
      <c r="R507" s="71"/>
    </row>
    <row r="508" spans="1:18" x14ac:dyDescent="0.3">
      <c r="A508" s="14" t="s">
        <v>123</v>
      </c>
      <c r="B508" s="11" t="s">
        <v>164</v>
      </c>
      <c r="C508" s="14">
        <v>3864298</v>
      </c>
      <c r="D508" s="14" t="s">
        <v>366</v>
      </c>
      <c r="E508" s="42" t="s">
        <v>139</v>
      </c>
      <c r="F508" s="49" t="s">
        <v>692</v>
      </c>
      <c r="G508" s="49" t="s">
        <v>692</v>
      </c>
      <c r="H508" s="49" t="s">
        <v>692</v>
      </c>
      <c r="I508" s="49" t="s">
        <v>692</v>
      </c>
      <c r="J508" s="67">
        <v>22878</v>
      </c>
      <c r="K508" s="67">
        <v>0</v>
      </c>
      <c r="L508" s="67">
        <v>22878</v>
      </c>
      <c r="M508" s="67">
        <v>19330.238066997725</v>
      </c>
      <c r="N508" s="67">
        <v>3547.7619330022753</v>
      </c>
      <c r="O508" s="66">
        <v>0</v>
      </c>
      <c r="P508" s="13">
        <f t="shared" si="15"/>
        <v>1</v>
      </c>
      <c r="Q508" s="71"/>
      <c r="R508" s="71"/>
    </row>
    <row r="509" spans="1:18" x14ac:dyDescent="0.3">
      <c r="A509" s="18" t="s">
        <v>123</v>
      </c>
      <c r="B509" s="18" t="s">
        <v>451</v>
      </c>
      <c r="C509" s="18">
        <v>3854262</v>
      </c>
      <c r="D509" s="18" t="s">
        <v>468</v>
      </c>
      <c r="E509" s="40" t="s">
        <v>469</v>
      </c>
      <c r="F509" s="18" t="s">
        <v>692</v>
      </c>
      <c r="G509" s="18" t="s">
        <v>692</v>
      </c>
      <c r="H509" s="18" t="s">
        <v>692</v>
      </c>
      <c r="I509" s="18" t="s">
        <v>692</v>
      </c>
      <c r="J509" s="67">
        <v>127600</v>
      </c>
      <c r="K509" s="67">
        <v>0</v>
      </c>
      <c r="L509" s="67">
        <v>127600</v>
      </c>
      <c r="M509" s="67">
        <v>108459.997763172</v>
      </c>
      <c r="N509" s="67">
        <v>19140.002236828004</v>
      </c>
      <c r="O509" s="66">
        <v>0</v>
      </c>
      <c r="P509" s="13">
        <f t="shared" si="15"/>
        <v>1</v>
      </c>
      <c r="Q509" s="71"/>
      <c r="R509" s="71"/>
    </row>
    <row r="510" spans="1:18" x14ac:dyDescent="0.3">
      <c r="A510" s="18" t="s">
        <v>123</v>
      </c>
      <c r="B510" s="18" t="s">
        <v>451</v>
      </c>
      <c r="C510" s="18">
        <v>3854262</v>
      </c>
      <c r="D510" s="18" t="s">
        <v>468</v>
      </c>
      <c r="E510" s="38" t="s">
        <v>418</v>
      </c>
      <c r="F510" s="49" t="s">
        <v>692</v>
      </c>
      <c r="G510" s="49" t="s">
        <v>692</v>
      </c>
      <c r="H510" s="49" t="s">
        <v>692</v>
      </c>
      <c r="I510" s="49" t="s">
        <v>692</v>
      </c>
      <c r="J510" s="67">
        <v>110700</v>
      </c>
      <c r="K510" s="67">
        <v>0</v>
      </c>
      <c r="L510" s="67">
        <v>110700</v>
      </c>
      <c r="M510" s="67">
        <v>94094.998059428995</v>
      </c>
      <c r="N510" s="67">
        <v>16605.001940571005</v>
      </c>
      <c r="O510" s="66">
        <v>0</v>
      </c>
      <c r="P510" s="13">
        <f t="shared" si="15"/>
        <v>1</v>
      </c>
      <c r="Q510" s="71"/>
      <c r="R510" s="71"/>
    </row>
    <row r="511" spans="1:18" x14ac:dyDescent="0.3">
      <c r="A511" s="18" t="s">
        <v>123</v>
      </c>
      <c r="B511" s="18" t="s">
        <v>451</v>
      </c>
      <c r="C511" s="18">
        <v>3857085</v>
      </c>
      <c r="D511" s="18" t="s">
        <v>470</v>
      </c>
      <c r="E511" s="40" t="s">
        <v>471</v>
      </c>
      <c r="F511" s="12" t="s">
        <v>692</v>
      </c>
      <c r="G511" s="12" t="s">
        <v>692</v>
      </c>
      <c r="H511" s="12" t="s">
        <v>692</v>
      </c>
      <c r="I511" s="12" t="s">
        <v>692</v>
      </c>
      <c r="J511" s="67">
        <v>0</v>
      </c>
      <c r="K511" s="67">
        <v>0</v>
      </c>
      <c r="L511" s="67">
        <v>0</v>
      </c>
      <c r="M511" s="67">
        <v>0</v>
      </c>
      <c r="N511" s="67">
        <v>0</v>
      </c>
      <c r="O511" s="66">
        <v>0</v>
      </c>
      <c r="P511" s="13" t="e">
        <f t="shared" si="15"/>
        <v>#DIV/0!</v>
      </c>
      <c r="Q511" s="71"/>
      <c r="R511" s="71"/>
    </row>
    <row r="512" spans="1:18" x14ac:dyDescent="0.3">
      <c r="A512" s="18" t="s">
        <v>123</v>
      </c>
      <c r="B512" s="18" t="s">
        <v>451</v>
      </c>
      <c r="C512" s="18">
        <v>3857085</v>
      </c>
      <c r="D512" s="18" t="s">
        <v>470</v>
      </c>
      <c r="E512" s="41" t="s">
        <v>676</v>
      </c>
      <c r="F512" s="49" t="s">
        <v>692</v>
      </c>
      <c r="G512" s="49" t="s">
        <v>692</v>
      </c>
      <c r="H512" s="49" t="s">
        <v>692</v>
      </c>
      <c r="I512" s="49" t="s">
        <v>692</v>
      </c>
      <c r="J512" s="67">
        <v>117655.94</v>
      </c>
      <c r="K512" s="67">
        <v>17648.39</v>
      </c>
      <c r="L512" s="67">
        <v>100007.55</v>
      </c>
      <c r="M512" s="67">
        <v>100007.55</v>
      </c>
      <c r="N512" s="67">
        <v>0</v>
      </c>
      <c r="O512" s="66">
        <v>0</v>
      </c>
      <c r="P512" s="13">
        <f t="shared" si="15"/>
        <v>0.85000000849935842</v>
      </c>
      <c r="Q512" s="71"/>
      <c r="R512" s="71"/>
    </row>
    <row r="513" spans="1:18" x14ac:dyDescent="0.3">
      <c r="A513" s="18" t="s">
        <v>123</v>
      </c>
      <c r="B513" s="18" t="s">
        <v>451</v>
      </c>
      <c r="C513" s="18">
        <v>3857085</v>
      </c>
      <c r="D513" s="18" t="s">
        <v>470</v>
      </c>
      <c r="E513" s="40" t="s">
        <v>472</v>
      </c>
      <c r="F513" s="29" t="s">
        <v>692</v>
      </c>
      <c r="G513" s="29">
        <v>23650</v>
      </c>
      <c r="H513" s="29" t="s">
        <v>699</v>
      </c>
      <c r="I513" s="29" t="s">
        <v>692</v>
      </c>
      <c r="J513" s="67">
        <v>56186.869999999995</v>
      </c>
      <c r="K513" s="67">
        <v>8428.0300000000007</v>
      </c>
      <c r="L513" s="67">
        <v>47758.84</v>
      </c>
      <c r="M513" s="67">
        <v>47758.84</v>
      </c>
      <c r="N513" s="67">
        <v>0</v>
      </c>
      <c r="O513" s="66">
        <v>0</v>
      </c>
      <c r="P513" s="13">
        <f t="shared" si="15"/>
        <v>0.85000000889887617</v>
      </c>
      <c r="Q513" s="71"/>
      <c r="R513" s="71"/>
    </row>
    <row r="514" spans="1:18" ht="29.55" x14ac:dyDescent="0.3">
      <c r="A514" s="15" t="s">
        <v>123</v>
      </c>
      <c r="B514" s="12" t="s">
        <v>5</v>
      </c>
      <c r="C514" s="16">
        <v>3877738</v>
      </c>
      <c r="D514" s="17" t="s">
        <v>142</v>
      </c>
      <c r="E514" s="43" t="s">
        <v>143</v>
      </c>
      <c r="F514" s="12" t="s">
        <v>692</v>
      </c>
      <c r="G514" s="12" t="s">
        <v>692</v>
      </c>
      <c r="H514" s="12" t="s">
        <v>692</v>
      </c>
      <c r="I514" s="12" t="s">
        <v>692</v>
      </c>
      <c r="J514" s="64">
        <v>134070</v>
      </c>
      <c r="K514" s="64">
        <v>0</v>
      </c>
      <c r="L514" s="64">
        <v>134070</v>
      </c>
      <c r="M514" s="64">
        <v>113480.61058592972</v>
      </c>
      <c r="N514" s="64">
        <v>20589.389414070276</v>
      </c>
      <c r="O514" s="66">
        <v>0</v>
      </c>
      <c r="P514" s="13">
        <f t="shared" si="15"/>
        <v>1</v>
      </c>
      <c r="Q514" s="71"/>
      <c r="R514" s="71"/>
    </row>
    <row r="515" spans="1:18" x14ac:dyDescent="0.3">
      <c r="A515" s="15" t="s">
        <v>123</v>
      </c>
      <c r="B515" s="12" t="s">
        <v>5</v>
      </c>
      <c r="C515" s="16">
        <v>3877738</v>
      </c>
      <c r="D515" s="17" t="s">
        <v>142</v>
      </c>
      <c r="E515" s="41" t="s">
        <v>677</v>
      </c>
      <c r="F515" s="29" t="s">
        <v>692</v>
      </c>
      <c r="G515" s="29" t="s">
        <v>692</v>
      </c>
      <c r="H515" s="29" t="s">
        <v>692</v>
      </c>
      <c r="I515" s="29" t="s">
        <v>692</v>
      </c>
      <c r="J515" s="64">
        <v>43050</v>
      </c>
      <c r="K515" s="64">
        <v>0</v>
      </c>
      <c r="L515" s="64">
        <v>43050</v>
      </c>
      <c r="M515" s="64">
        <v>36438.728169793947</v>
      </c>
      <c r="N515" s="64">
        <v>6611.271830206053</v>
      </c>
      <c r="O515" s="66">
        <v>0</v>
      </c>
      <c r="P515" s="13">
        <f t="shared" ref="P515:P578" si="16">L515/J515</f>
        <v>1</v>
      </c>
      <c r="Q515" s="71"/>
      <c r="R515" s="71"/>
    </row>
    <row r="516" spans="1:18" ht="29.55" x14ac:dyDescent="0.3">
      <c r="A516" s="15" t="s">
        <v>123</v>
      </c>
      <c r="B516" s="12" t="s">
        <v>5</v>
      </c>
      <c r="C516" s="16">
        <v>3878454</v>
      </c>
      <c r="D516" s="17" t="s">
        <v>144</v>
      </c>
      <c r="E516" s="43" t="s">
        <v>143</v>
      </c>
      <c r="F516" s="12" t="s">
        <v>692</v>
      </c>
      <c r="G516" s="12" t="s">
        <v>692</v>
      </c>
      <c r="H516" s="12" t="s">
        <v>692</v>
      </c>
      <c r="I516" s="12" t="s">
        <v>692</v>
      </c>
      <c r="J516" s="64">
        <v>91721.1</v>
      </c>
      <c r="K516" s="64">
        <v>0</v>
      </c>
      <c r="L516" s="64">
        <v>91721.1</v>
      </c>
      <c r="M516" s="64">
        <v>77635.313132043855</v>
      </c>
      <c r="N516" s="64">
        <v>14085.786867956151</v>
      </c>
      <c r="O516" s="66">
        <v>0</v>
      </c>
      <c r="P516" s="13">
        <f t="shared" si="16"/>
        <v>1</v>
      </c>
      <c r="Q516" s="71"/>
      <c r="R516" s="71"/>
    </row>
    <row r="517" spans="1:18" x14ac:dyDescent="0.3">
      <c r="A517" s="15" t="s">
        <v>123</v>
      </c>
      <c r="B517" s="12" t="s">
        <v>5</v>
      </c>
      <c r="C517" s="16">
        <v>3878454</v>
      </c>
      <c r="D517" s="17" t="s">
        <v>144</v>
      </c>
      <c r="E517" s="41" t="s">
        <v>677</v>
      </c>
      <c r="F517" s="50" t="s">
        <v>692</v>
      </c>
      <c r="G517" s="50" t="s">
        <v>692</v>
      </c>
      <c r="H517" s="50" t="s">
        <v>692</v>
      </c>
      <c r="I517" s="50" t="s">
        <v>692</v>
      </c>
      <c r="J517" s="64">
        <v>91020</v>
      </c>
      <c r="K517" s="64">
        <v>0</v>
      </c>
      <c r="L517" s="64">
        <v>91020</v>
      </c>
      <c r="M517" s="64">
        <v>77041.882416135777</v>
      </c>
      <c r="N517" s="64">
        <v>13978.117583864223</v>
      </c>
      <c r="O517" s="66">
        <v>0</v>
      </c>
      <c r="P517" s="13">
        <f t="shared" si="16"/>
        <v>1</v>
      </c>
      <c r="Q517" s="71"/>
      <c r="R517" s="71"/>
    </row>
    <row r="518" spans="1:18" x14ac:dyDescent="0.3">
      <c r="A518" s="14" t="s">
        <v>123</v>
      </c>
      <c r="B518" s="11" t="s">
        <v>164</v>
      </c>
      <c r="C518" s="14">
        <v>3874043</v>
      </c>
      <c r="D518" s="14" t="s">
        <v>370</v>
      </c>
      <c r="E518" s="42" t="s">
        <v>371</v>
      </c>
      <c r="F518" s="50" t="s">
        <v>692</v>
      </c>
      <c r="G518" s="50" t="s">
        <v>692</v>
      </c>
      <c r="H518" s="50" t="s">
        <v>692</v>
      </c>
      <c r="I518" s="50" t="s">
        <v>692</v>
      </c>
      <c r="J518" s="67">
        <v>81180</v>
      </c>
      <c r="K518" s="67">
        <v>0</v>
      </c>
      <c r="L518" s="67">
        <v>81180</v>
      </c>
      <c r="M518" s="67">
        <v>68591.167334508049</v>
      </c>
      <c r="N518" s="67">
        <v>12588.832665491951</v>
      </c>
      <c r="O518" s="66">
        <v>0</v>
      </c>
      <c r="P518" s="13">
        <f t="shared" si="16"/>
        <v>1</v>
      </c>
      <c r="Q518" s="71"/>
      <c r="R518" s="71"/>
    </row>
    <row r="519" spans="1:18" x14ac:dyDescent="0.3">
      <c r="A519" s="14" t="s">
        <v>123</v>
      </c>
      <c r="B519" s="11" t="s">
        <v>164</v>
      </c>
      <c r="C519" s="14">
        <v>3874043</v>
      </c>
      <c r="D519" s="14" t="s">
        <v>370</v>
      </c>
      <c r="E519" s="42" t="s">
        <v>372</v>
      </c>
      <c r="F519" s="50" t="s">
        <v>692</v>
      </c>
      <c r="G519" s="50" t="s">
        <v>692</v>
      </c>
      <c r="H519" s="50" t="s">
        <v>692</v>
      </c>
      <c r="I519" s="50" t="s">
        <v>692</v>
      </c>
      <c r="J519" s="67">
        <v>55965</v>
      </c>
      <c r="K519" s="67">
        <v>0</v>
      </c>
      <c r="L519" s="67">
        <v>55965</v>
      </c>
      <c r="M519" s="67">
        <v>47286.335056365402</v>
      </c>
      <c r="N519" s="67">
        <v>8678.6649436345979</v>
      </c>
      <c r="O519" s="66">
        <v>0</v>
      </c>
      <c r="P519" s="13">
        <f t="shared" si="16"/>
        <v>1</v>
      </c>
      <c r="Q519" s="71"/>
      <c r="R519" s="71"/>
    </row>
    <row r="520" spans="1:18" x14ac:dyDescent="0.3">
      <c r="A520" s="14" t="s">
        <v>123</v>
      </c>
      <c r="B520" s="11" t="s">
        <v>164</v>
      </c>
      <c r="C520" s="14">
        <v>3874043</v>
      </c>
      <c r="D520" s="14" t="s">
        <v>370</v>
      </c>
      <c r="E520" s="42" t="s">
        <v>373</v>
      </c>
      <c r="F520" s="50" t="s">
        <v>692</v>
      </c>
      <c r="G520" s="50" t="s">
        <v>692</v>
      </c>
      <c r="H520" s="50" t="s">
        <v>692</v>
      </c>
      <c r="I520" s="50" t="s">
        <v>692</v>
      </c>
      <c r="J520" s="67">
        <v>43911</v>
      </c>
      <c r="K520" s="67">
        <v>0</v>
      </c>
      <c r="L520" s="67">
        <v>43911</v>
      </c>
      <c r="M520" s="67">
        <v>37101.585967302082</v>
      </c>
      <c r="N520" s="67">
        <v>6809.4140326979177</v>
      </c>
      <c r="O520" s="66">
        <v>0</v>
      </c>
      <c r="P520" s="13">
        <f t="shared" si="16"/>
        <v>1</v>
      </c>
      <c r="Q520" s="71"/>
      <c r="R520" s="71"/>
    </row>
    <row r="521" spans="1:18" x14ac:dyDescent="0.3">
      <c r="A521" s="14" t="s">
        <v>123</v>
      </c>
      <c r="B521" s="11" t="s">
        <v>164</v>
      </c>
      <c r="C521" s="14">
        <v>3874043</v>
      </c>
      <c r="D521" s="14" t="s">
        <v>370</v>
      </c>
      <c r="E521" s="42" t="s">
        <v>374</v>
      </c>
      <c r="F521" s="50" t="s">
        <v>692</v>
      </c>
      <c r="G521" s="50" t="s">
        <v>692</v>
      </c>
      <c r="H521" s="50" t="s">
        <v>692</v>
      </c>
      <c r="I521" s="50" t="s">
        <v>692</v>
      </c>
      <c r="J521" s="67">
        <v>75927.899999999994</v>
      </c>
      <c r="K521" s="67">
        <v>0</v>
      </c>
      <c r="L521" s="67">
        <v>75927.899999999994</v>
      </c>
      <c r="M521" s="67">
        <v>64153.526659987605</v>
      </c>
      <c r="N521" s="67">
        <v>11774.373340012389</v>
      </c>
      <c r="O521" s="66">
        <v>0</v>
      </c>
      <c r="P521" s="13">
        <f t="shared" si="16"/>
        <v>1</v>
      </c>
      <c r="Q521" s="71"/>
      <c r="R521" s="71"/>
    </row>
    <row r="522" spans="1:18" x14ac:dyDescent="0.3">
      <c r="A522" s="14" t="s">
        <v>123</v>
      </c>
      <c r="B522" s="11" t="s">
        <v>164</v>
      </c>
      <c r="C522" s="14">
        <v>3874043</v>
      </c>
      <c r="D522" s="14" t="s">
        <v>370</v>
      </c>
      <c r="E522" s="42" t="s">
        <v>168</v>
      </c>
      <c r="F522" s="29" t="s">
        <v>692</v>
      </c>
      <c r="G522" s="29" t="s">
        <v>692</v>
      </c>
      <c r="H522" s="29" t="s">
        <v>692</v>
      </c>
      <c r="I522" s="29" t="s">
        <v>692</v>
      </c>
      <c r="J522" s="67">
        <v>38130</v>
      </c>
      <c r="K522" s="67">
        <v>0</v>
      </c>
      <c r="L522" s="67">
        <v>38130</v>
      </c>
      <c r="M522" s="67">
        <v>32217.063444996209</v>
      </c>
      <c r="N522" s="67">
        <v>5912.936555003791</v>
      </c>
      <c r="O522" s="66">
        <v>0</v>
      </c>
      <c r="P522" s="13">
        <f t="shared" si="16"/>
        <v>1</v>
      </c>
      <c r="Q522" s="71"/>
      <c r="R522" s="71"/>
    </row>
    <row r="523" spans="1:18" x14ac:dyDescent="0.3">
      <c r="A523" s="15" t="s">
        <v>123</v>
      </c>
      <c r="B523" s="12" t="s">
        <v>5</v>
      </c>
      <c r="C523" s="23">
        <v>3878445</v>
      </c>
      <c r="D523" s="17" t="s">
        <v>145</v>
      </c>
      <c r="E523" s="43" t="s">
        <v>146</v>
      </c>
      <c r="F523" s="29" t="s">
        <v>692</v>
      </c>
      <c r="G523" s="29">
        <v>23650</v>
      </c>
      <c r="H523" s="29">
        <v>9355511</v>
      </c>
      <c r="I523" s="29" t="s">
        <v>692</v>
      </c>
      <c r="J523" s="64">
        <v>75000</v>
      </c>
      <c r="K523" s="64">
        <v>11517.9</v>
      </c>
      <c r="L523" s="64">
        <v>63482.1</v>
      </c>
      <c r="M523" s="64">
        <v>63482.1</v>
      </c>
      <c r="N523" s="64">
        <v>0</v>
      </c>
      <c r="O523" s="66">
        <v>0</v>
      </c>
      <c r="P523" s="13">
        <f t="shared" si="16"/>
        <v>0.84642799999999996</v>
      </c>
      <c r="Q523" s="71"/>
      <c r="R523" s="71"/>
    </row>
    <row r="524" spans="1:18" x14ac:dyDescent="0.3">
      <c r="A524" s="15" t="s">
        <v>123</v>
      </c>
      <c r="B524" s="12" t="s">
        <v>5</v>
      </c>
      <c r="C524" s="23">
        <v>3878445</v>
      </c>
      <c r="D524" s="17" t="s">
        <v>145</v>
      </c>
      <c r="E524" s="43" t="s">
        <v>147</v>
      </c>
      <c r="F524" s="12" t="s">
        <v>692</v>
      </c>
      <c r="G524" s="12">
        <v>23650</v>
      </c>
      <c r="H524" s="12">
        <v>9355526</v>
      </c>
      <c r="I524" s="12" t="s">
        <v>692</v>
      </c>
      <c r="J524" s="64">
        <v>35000</v>
      </c>
      <c r="K524" s="64">
        <v>5375.02</v>
      </c>
      <c r="L524" s="64">
        <v>29624.98</v>
      </c>
      <c r="M524" s="64">
        <v>29624.98</v>
      </c>
      <c r="N524" s="64">
        <v>0</v>
      </c>
      <c r="O524" s="66">
        <v>0</v>
      </c>
      <c r="P524" s="13">
        <f t="shared" si="16"/>
        <v>0.84642799999999996</v>
      </c>
      <c r="Q524" s="71"/>
      <c r="R524" s="71"/>
    </row>
    <row r="525" spans="1:18" x14ac:dyDescent="0.3">
      <c r="A525" s="15" t="s">
        <v>123</v>
      </c>
      <c r="B525" s="12" t="s">
        <v>5</v>
      </c>
      <c r="C525" s="23">
        <v>3878445</v>
      </c>
      <c r="D525" s="17" t="s">
        <v>145</v>
      </c>
      <c r="E525" s="41" t="s">
        <v>678</v>
      </c>
      <c r="F525" s="29" t="s">
        <v>692</v>
      </c>
      <c r="G525" s="29" t="s">
        <v>692</v>
      </c>
      <c r="H525" s="29" t="s">
        <v>692</v>
      </c>
      <c r="I525" s="29" t="s">
        <v>692</v>
      </c>
      <c r="J525" s="64">
        <v>40000</v>
      </c>
      <c r="K525" s="64">
        <v>6142.88</v>
      </c>
      <c r="L525" s="64">
        <v>33857.120000000003</v>
      </c>
      <c r="M525" s="64">
        <v>33857.120000000003</v>
      </c>
      <c r="N525" s="64">
        <v>0</v>
      </c>
      <c r="O525" s="66">
        <v>0</v>
      </c>
      <c r="P525" s="13">
        <f t="shared" si="16"/>
        <v>0.84642800000000007</v>
      </c>
      <c r="Q525" s="71"/>
      <c r="R525" s="71"/>
    </row>
    <row r="526" spans="1:18" x14ac:dyDescent="0.3">
      <c r="A526" s="15" t="s">
        <v>123</v>
      </c>
      <c r="B526" s="12" t="s">
        <v>5</v>
      </c>
      <c r="C526" s="19">
        <v>3882561</v>
      </c>
      <c r="D526" s="24" t="s">
        <v>148</v>
      </c>
      <c r="E526" s="46" t="s">
        <v>149</v>
      </c>
      <c r="F526" s="12" t="s">
        <v>692</v>
      </c>
      <c r="G526" s="12">
        <v>23650</v>
      </c>
      <c r="H526" s="12">
        <v>9355307</v>
      </c>
      <c r="I526" s="12" t="s">
        <v>692</v>
      </c>
      <c r="J526" s="64">
        <v>98400</v>
      </c>
      <c r="K526" s="64">
        <v>15111.48</v>
      </c>
      <c r="L526" s="64">
        <v>83288.52</v>
      </c>
      <c r="M526" s="64">
        <v>83288.52</v>
      </c>
      <c r="N526" s="64">
        <v>0</v>
      </c>
      <c r="O526" s="66">
        <v>0</v>
      </c>
      <c r="P526" s="13">
        <f t="shared" si="16"/>
        <v>0.84642804878048783</v>
      </c>
      <c r="Q526" s="71"/>
      <c r="R526" s="71"/>
    </row>
    <row r="527" spans="1:18" x14ac:dyDescent="0.3">
      <c r="A527" s="11" t="s">
        <v>123</v>
      </c>
      <c r="B527" s="12" t="s">
        <v>474</v>
      </c>
      <c r="C527" s="12">
        <v>3709830</v>
      </c>
      <c r="D527" s="12" t="s">
        <v>583</v>
      </c>
      <c r="E527" s="41" t="s">
        <v>126</v>
      </c>
      <c r="F527" s="12" t="s">
        <v>692</v>
      </c>
      <c r="G527" s="12" t="s">
        <v>692</v>
      </c>
      <c r="H527" s="12" t="s">
        <v>692</v>
      </c>
      <c r="I527" s="12" t="s">
        <v>692</v>
      </c>
      <c r="J527" s="64">
        <v>110600</v>
      </c>
      <c r="K527" s="64">
        <v>0</v>
      </c>
      <c r="L527" s="64">
        <v>110600</v>
      </c>
      <c r="M527" s="64">
        <v>94009.997930120997</v>
      </c>
      <c r="N527" s="64">
        <v>16590.002069879003</v>
      </c>
      <c r="O527" s="66">
        <v>0</v>
      </c>
      <c r="P527" s="13">
        <f t="shared" si="16"/>
        <v>1</v>
      </c>
      <c r="Q527" s="71"/>
      <c r="R527" s="71"/>
    </row>
    <row r="528" spans="1:18" x14ac:dyDescent="0.3">
      <c r="A528" s="11" t="s">
        <v>123</v>
      </c>
      <c r="B528" s="12" t="s">
        <v>474</v>
      </c>
      <c r="C528" s="12">
        <v>3709830</v>
      </c>
      <c r="D528" s="12" t="s">
        <v>583</v>
      </c>
      <c r="E528" s="41" t="s">
        <v>584</v>
      </c>
      <c r="F528" s="50" t="s">
        <v>692</v>
      </c>
      <c r="G528" s="50" t="s">
        <v>692</v>
      </c>
      <c r="H528" s="50" t="s">
        <v>692</v>
      </c>
      <c r="I528" s="50" t="s">
        <v>692</v>
      </c>
      <c r="J528" s="64">
        <v>16380</v>
      </c>
      <c r="K528" s="64">
        <v>0</v>
      </c>
      <c r="L528" s="64">
        <v>16380</v>
      </c>
      <c r="M528" s="64">
        <v>13922.999693448301</v>
      </c>
      <c r="N528" s="64">
        <v>2457.0003065516994</v>
      </c>
      <c r="O528" s="66">
        <v>0</v>
      </c>
      <c r="P528" s="13">
        <f t="shared" si="16"/>
        <v>1</v>
      </c>
      <c r="Q528" s="71"/>
      <c r="R528" s="71"/>
    </row>
    <row r="529" spans="1:18" x14ac:dyDescent="0.3">
      <c r="A529" s="14" t="s">
        <v>123</v>
      </c>
      <c r="B529" s="11" t="s">
        <v>164</v>
      </c>
      <c r="C529" s="14">
        <v>3873676</v>
      </c>
      <c r="D529" s="25" t="s">
        <v>375</v>
      </c>
      <c r="E529" s="47" t="s">
        <v>376</v>
      </c>
      <c r="F529" s="50" t="s">
        <v>692</v>
      </c>
      <c r="G529" s="50" t="s">
        <v>692</v>
      </c>
      <c r="H529" s="50" t="s">
        <v>692</v>
      </c>
      <c r="I529" s="50" t="s">
        <v>692</v>
      </c>
      <c r="J529" s="67">
        <v>22626.39</v>
      </c>
      <c r="K529" s="67">
        <v>0</v>
      </c>
      <c r="L529" s="67">
        <v>22626.39</v>
      </c>
      <c r="M529" s="67">
        <v>19117.646004752893</v>
      </c>
      <c r="N529" s="67">
        <v>3508.7439952471068</v>
      </c>
      <c r="O529" s="66">
        <v>0</v>
      </c>
      <c r="P529" s="13">
        <f t="shared" si="16"/>
        <v>1</v>
      </c>
      <c r="Q529" s="71"/>
      <c r="R529" s="71"/>
    </row>
    <row r="530" spans="1:18" x14ac:dyDescent="0.3">
      <c r="A530" s="14" t="s">
        <v>123</v>
      </c>
      <c r="B530" s="11" t="s">
        <v>164</v>
      </c>
      <c r="C530" s="14">
        <v>3873676</v>
      </c>
      <c r="D530" s="25" t="s">
        <v>375</v>
      </c>
      <c r="E530" s="42" t="s">
        <v>377</v>
      </c>
      <c r="F530" s="50" t="s">
        <v>692</v>
      </c>
      <c r="G530" s="50" t="s">
        <v>692</v>
      </c>
      <c r="H530" s="50" t="s">
        <v>692</v>
      </c>
      <c r="I530" s="50" t="s">
        <v>692</v>
      </c>
      <c r="J530" s="67">
        <v>44122.149999999994</v>
      </c>
      <c r="K530" s="67">
        <v>6842.1576837761822</v>
      </c>
      <c r="L530" s="67">
        <v>37279.992316223812</v>
      </c>
      <c r="M530" s="67">
        <v>37279.992316223812</v>
      </c>
      <c r="N530" s="67">
        <v>0</v>
      </c>
      <c r="O530" s="66">
        <v>0</v>
      </c>
      <c r="P530" s="13">
        <f t="shared" si="16"/>
        <v>0.84492692029340855</v>
      </c>
      <c r="Q530" s="71"/>
      <c r="R530" s="71"/>
    </row>
    <row r="531" spans="1:18" x14ac:dyDescent="0.3">
      <c r="A531" s="14" t="s">
        <v>123</v>
      </c>
      <c r="B531" s="11" t="s">
        <v>164</v>
      </c>
      <c r="C531" s="14">
        <v>3873676</v>
      </c>
      <c r="D531" s="25" t="s">
        <v>375</v>
      </c>
      <c r="E531" s="42" t="s">
        <v>378</v>
      </c>
      <c r="F531" s="50" t="s">
        <v>692</v>
      </c>
      <c r="G531" s="50" t="s">
        <v>692</v>
      </c>
      <c r="H531" s="50" t="s">
        <v>692</v>
      </c>
      <c r="I531" s="50" t="s">
        <v>692</v>
      </c>
      <c r="J531" s="67">
        <v>42400.56</v>
      </c>
      <c r="K531" s="67">
        <v>0</v>
      </c>
      <c r="L531" s="67">
        <v>42400.56</v>
      </c>
      <c r="M531" s="74">
        <f>35825.37</f>
        <v>35825.370000000003</v>
      </c>
      <c r="N531" s="74">
        <f>L531-(M531+O531)</f>
        <v>717.42999999999302</v>
      </c>
      <c r="O531" s="74">
        <v>5857.76</v>
      </c>
      <c r="P531" s="13">
        <f t="shared" si="16"/>
        <v>1</v>
      </c>
      <c r="Q531" s="71"/>
      <c r="R531" s="71"/>
    </row>
    <row r="532" spans="1:18" x14ac:dyDescent="0.3">
      <c r="A532" s="14" t="s">
        <v>123</v>
      </c>
      <c r="B532" s="11" t="s">
        <v>164</v>
      </c>
      <c r="C532" s="14">
        <v>3873676</v>
      </c>
      <c r="D532" s="25" t="s">
        <v>375</v>
      </c>
      <c r="E532" s="42" t="s">
        <v>379</v>
      </c>
      <c r="F532" s="50" t="s">
        <v>692</v>
      </c>
      <c r="G532" s="50" t="s">
        <v>692</v>
      </c>
      <c r="H532" s="50" t="s">
        <v>692</v>
      </c>
      <c r="I532" s="50" t="s">
        <v>692</v>
      </c>
      <c r="J532" s="67">
        <v>42397.05</v>
      </c>
      <c r="K532" s="67">
        <v>0</v>
      </c>
      <c r="L532" s="67">
        <v>42397.05</v>
      </c>
      <c r="M532" s="67">
        <v>35822.408857347931</v>
      </c>
      <c r="N532" s="67">
        <v>6574.6411426520717</v>
      </c>
      <c r="O532" s="66">
        <v>0</v>
      </c>
      <c r="P532" s="13">
        <f t="shared" si="16"/>
        <v>1</v>
      </c>
      <c r="Q532" s="71"/>
      <c r="R532" s="71"/>
    </row>
    <row r="533" spans="1:18" x14ac:dyDescent="0.3">
      <c r="A533" s="14" t="s">
        <v>123</v>
      </c>
      <c r="B533" s="11" t="s">
        <v>164</v>
      </c>
      <c r="C533" s="14">
        <v>3873676</v>
      </c>
      <c r="D533" s="25" t="s">
        <v>375</v>
      </c>
      <c r="E533" s="42" t="s">
        <v>380</v>
      </c>
      <c r="F533" s="50" t="s">
        <v>692</v>
      </c>
      <c r="G533" s="50" t="s">
        <v>692</v>
      </c>
      <c r="H533" s="50" t="s">
        <v>692</v>
      </c>
      <c r="I533" s="50" t="s">
        <v>692</v>
      </c>
      <c r="J533" s="67">
        <v>24004.01</v>
      </c>
      <c r="K533" s="67">
        <v>0</v>
      </c>
      <c r="L533" s="67">
        <v>24004.01</v>
      </c>
      <c r="M533" s="67">
        <v>20281.634227755661</v>
      </c>
      <c r="N533" s="67">
        <v>3722.375772244337</v>
      </c>
      <c r="O533" s="66">
        <v>0</v>
      </c>
      <c r="P533" s="13">
        <f t="shared" si="16"/>
        <v>1</v>
      </c>
      <c r="Q533" s="71"/>
      <c r="R533" s="71"/>
    </row>
    <row r="534" spans="1:18" x14ac:dyDescent="0.3">
      <c r="A534" s="14" t="s">
        <v>123</v>
      </c>
      <c r="B534" s="11" t="s">
        <v>164</v>
      </c>
      <c r="C534" s="14">
        <v>3873676</v>
      </c>
      <c r="D534" s="25" t="s">
        <v>375</v>
      </c>
      <c r="E534" s="42" t="s">
        <v>381</v>
      </c>
      <c r="F534" s="50" t="s">
        <v>692</v>
      </c>
      <c r="G534" s="50" t="s">
        <v>692</v>
      </c>
      <c r="H534" s="50" t="s">
        <v>692</v>
      </c>
      <c r="I534" s="50" t="s">
        <v>692</v>
      </c>
      <c r="J534" s="67">
        <v>39596.58</v>
      </c>
      <c r="K534" s="67">
        <v>0</v>
      </c>
      <c r="L534" s="67">
        <v>39596.58</v>
      </c>
      <c r="M534" s="67">
        <v>33456.216366768109</v>
      </c>
      <c r="N534" s="67">
        <v>6140.3636332318929</v>
      </c>
      <c r="O534" s="66">
        <v>0</v>
      </c>
      <c r="P534" s="13">
        <f t="shared" si="16"/>
        <v>1</v>
      </c>
      <c r="Q534" s="71"/>
      <c r="R534" s="71"/>
    </row>
    <row r="535" spans="1:18" x14ac:dyDescent="0.3">
      <c r="A535" s="14" t="s">
        <v>123</v>
      </c>
      <c r="B535" s="11" t="s">
        <v>164</v>
      </c>
      <c r="C535" s="14">
        <v>3873676</v>
      </c>
      <c r="D535" s="25" t="s">
        <v>375</v>
      </c>
      <c r="E535" s="42" t="s">
        <v>382</v>
      </c>
      <c r="F535" s="50" t="s">
        <v>692</v>
      </c>
      <c r="G535" s="50" t="s">
        <v>692</v>
      </c>
      <c r="H535" s="50" t="s">
        <v>692</v>
      </c>
      <c r="I535" s="50" t="s">
        <v>692</v>
      </c>
      <c r="J535" s="67">
        <v>42799.08</v>
      </c>
      <c r="K535" s="67">
        <v>0</v>
      </c>
      <c r="L535" s="67">
        <v>42799.08</v>
      </c>
      <c r="M535" s="67">
        <v>36162.094826841552</v>
      </c>
      <c r="N535" s="67">
        <v>6636.9851731584495</v>
      </c>
      <c r="O535" s="66">
        <v>0</v>
      </c>
      <c r="P535" s="13">
        <f t="shared" si="16"/>
        <v>1</v>
      </c>
      <c r="Q535" s="71"/>
      <c r="R535" s="71"/>
    </row>
    <row r="536" spans="1:18" x14ac:dyDescent="0.3">
      <c r="A536" s="14" t="s">
        <v>123</v>
      </c>
      <c r="B536" s="11" t="s">
        <v>164</v>
      </c>
      <c r="C536" s="14">
        <v>3873676</v>
      </c>
      <c r="D536" s="25" t="s">
        <v>375</v>
      </c>
      <c r="E536" s="42" t="s">
        <v>383</v>
      </c>
      <c r="F536" s="49" t="s">
        <v>692</v>
      </c>
      <c r="G536" s="49" t="s">
        <v>692</v>
      </c>
      <c r="H536" s="49" t="s">
        <v>692</v>
      </c>
      <c r="I536" s="49" t="s">
        <v>692</v>
      </c>
      <c r="J536" s="67">
        <v>42312</v>
      </c>
      <c r="K536" s="67">
        <v>0</v>
      </c>
      <c r="L536" s="67">
        <v>42312</v>
      </c>
      <c r="M536" s="67">
        <v>35750.547822834502</v>
      </c>
      <c r="N536" s="67">
        <v>6561.4521771654981</v>
      </c>
      <c r="O536" s="66">
        <v>0</v>
      </c>
      <c r="P536" s="13">
        <f t="shared" si="16"/>
        <v>1</v>
      </c>
      <c r="Q536" s="71"/>
      <c r="R536" s="71"/>
    </row>
    <row r="537" spans="1:18" x14ac:dyDescent="0.3">
      <c r="A537" s="18" t="s">
        <v>123</v>
      </c>
      <c r="B537" s="18" t="s">
        <v>451</v>
      </c>
      <c r="C537" s="18">
        <v>3883193</v>
      </c>
      <c r="D537" s="18" t="s">
        <v>473</v>
      </c>
      <c r="E537" s="40" t="s">
        <v>464</v>
      </c>
      <c r="F537" s="12" t="s">
        <v>692</v>
      </c>
      <c r="G537" s="12" t="s">
        <v>692</v>
      </c>
      <c r="H537" s="12" t="s">
        <v>692</v>
      </c>
      <c r="I537" s="12" t="s">
        <v>692</v>
      </c>
      <c r="J537" s="67">
        <v>150000</v>
      </c>
      <c r="K537" s="67">
        <v>0</v>
      </c>
      <c r="L537" s="67">
        <v>150000</v>
      </c>
      <c r="M537" s="67">
        <v>127499.9973705</v>
      </c>
      <c r="N537" s="67">
        <v>22500.002629499999</v>
      </c>
      <c r="O537" s="66">
        <v>0</v>
      </c>
      <c r="P537" s="13">
        <f t="shared" si="16"/>
        <v>1</v>
      </c>
      <c r="Q537" s="71"/>
      <c r="R537" s="71"/>
    </row>
    <row r="538" spans="1:18" x14ac:dyDescent="0.3">
      <c r="A538" s="11" t="s">
        <v>123</v>
      </c>
      <c r="B538" s="12" t="s">
        <v>474</v>
      </c>
      <c r="C538" s="12">
        <v>3877200</v>
      </c>
      <c r="D538" s="12" t="s">
        <v>585</v>
      </c>
      <c r="E538" s="41" t="s">
        <v>554</v>
      </c>
      <c r="F538" s="12" t="s">
        <v>692</v>
      </c>
      <c r="G538" s="12" t="s">
        <v>692</v>
      </c>
      <c r="H538" s="12" t="s">
        <v>692</v>
      </c>
      <c r="I538" s="12" t="s">
        <v>692</v>
      </c>
      <c r="J538" s="64">
        <v>44895</v>
      </c>
      <c r="K538" s="64">
        <v>0</v>
      </c>
      <c r="L538" s="64">
        <v>44895</v>
      </c>
      <c r="M538" s="64">
        <v>38160.749159790073</v>
      </c>
      <c r="N538" s="64">
        <v>6734.2508402099265</v>
      </c>
      <c r="O538" s="66">
        <v>0</v>
      </c>
      <c r="P538" s="13">
        <f t="shared" si="16"/>
        <v>1</v>
      </c>
      <c r="Q538" s="71"/>
      <c r="R538" s="71"/>
    </row>
    <row r="539" spans="1:18" x14ac:dyDescent="0.3">
      <c r="A539" s="11" t="s">
        <v>123</v>
      </c>
      <c r="B539" s="12" t="s">
        <v>474</v>
      </c>
      <c r="C539" s="12">
        <v>3877200</v>
      </c>
      <c r="D539" s="12" t="s">
        <v>585</v>
      </c>
      <c r="E539" s="41" t="s">
        <v>586</v>
      </c>
      <c r="F539" s="12" t="s">
        <v>692</v>
      </c>
      <c r="G539" s="12" t="s">
        <v>692</v>
      </c>
      <c r="H539" s="12" t="s">
        <v>692</v>
      </c>
      <c r="I539" s="12" t="s">
        <v>692</v>
      </c>
      <c r="J539" s="64">
        <v>34932</v>
      </c>
      <c r="K539" s="64">
        <v>5239.7999999999993</v>
      </c>
      <c r="L539" s="64">
        <v>29692.2</v>
      </c>
      <c r="M539" s="64">
        <v>29692.2</v>
      </c>
      <c r="N539" s="64">
        <v>0</v>
      </c>
      <c r="O539" s="66">
        <v>0</v>
      </c>
      <c r="P539" s="13">
        <f t="shared" si="16"/>
        <v>0.85</v>
      </c>
      <c r="Q539" s="71"/>
      <c r="R539" s="71"/>
    </row>
    <row r="540" spans="1:18" x14ac:dyDescent="0.3">
      <c r="A540" s="11" t="s">
        <v>123</v>
      </c>
      <c r="B540" s="12" t="s">
        <v>474</v>
      </c>
      <c r="C540" s="12">
        <v>3877200</v>
      </c>
      <c r="D540" s="12" t="s">
        <v>585</v>
      </c>
      <c r="E540" s="41" t="s">
        <v>556</v>
      </c>
      <c r="F540" s="12" t="s">
        <v>692</v>
      </c>
      <c r="G540" s="12" t="s">
        <v>692</v>
      </c>
      <c r="H540" s="12" t="s">
        <v>692</v>
      </c>
      <c r="I540" s="12" t="s">
        <v>692</v>
      </c>
      <c r="J540" s="64">
        <v>32718</v>
      </c>
      <c r="K540" s="64">
        <v>4907.7000000000007</v>
      </c>
      <c r="L540" s="64">
        <v>27810.3</v>
      </c>
      <c r="M540" s="64">
        <v>27810.3</v>
      </c>
      <c r="N540" s="64">
        <v>0</v>
      </c>
      <c r="O540" s="66">
        <v>0</v>
      </c>
      <c r="P540" s="13">
        <f t="shared" si="16"/>
        <v>0.85</v>
      </c>
      <c r="Q540" s="71"/>
      <c r="R540" s="71"/>
    </row>
    <row r="541" spans="1:18" x14ac:dyDescent="0.3">
      <c r="A541" s="11" t="s">
        <v>123</v>
      </c>
      <c r="B541" s="12" t="s">
        <v>474</v>
      </c>
      <c r="C541" s="12">
        <v>3877200</v>
      </c>
      <c r="D541" s="12" t="s">
        <v>585</v>
      </c>
      <c r="E541" s="41" t="s">
        <v>393</v>
      </c>
      <c r="F541" s="50" t="s">
        <v>692</v>
      </c>
      <c r="G541" s="50" t="s">
        <v>692</v>
      </c>
      <c r="H541" s="50" t="s">
        <v>692</v>
      </c>
      <c r="I541" s="50" t="s">
        <v>692</v>
      </c>
      <c r="J541" s="64">
        <v>40680.36</v>
      </c>
      <c r="K541" s="64">
        <v>0</v>
      </c>
      <c r="L541" s="64">
        <v>40680.36</v>
      </c>
      <c r="M541" s="64">
        <v>34578.305238667061</v>
      </c>
      <c r="N541" s="64">
        <v>6102.05476133294</v>
      </c>
      <c r="O541" s="66">
        <v>0</v>
      </c>
      <c r="P541" s="13">
        <f t="shared" si="16"/>
        <v>1</v>
      </c>
      <c r="Q541" s="71"/>
      <c r="R541" s="71"/>
    </row>
    <row r="542" spans="1:18" x14ac:dyDescent="0.3">
      <c r="A542" s="14" t="s">
        <v>123</v>
      </c>
      <c r="B542" s="11" t="s">
        <v>164</v>
      </c>
      <c r="C542" s="14">
        <v>3883179</v>
      </c>
      <c r="D542" s="25" t="s">
        <v>384</v>
      </c>
      <c r="E542" s="42" t="s">
        <v>385</v>
      </c>
      <c r="F542" s="50" t="s">
        <v>692</v>
      </c>
      <c r="G542" s="50" t="s">
        <v>692</v>
      </c>
      <c r="H542" s="50" t="s">
        <v>692</v>
      </c>
      <c r="I542" s="50" t="s">
        <v>692</v>
      </c>
      <c r="J542" s="67">
        <v>18450</v>
      </c>
      <c r="K542" s="67">
        <v>0</v>
      </c>
      <c r="L542" s="67">
        <v>18450</v>
      </c>
      <c r="M542" s="67">
        <v>15588.901666933649</v>
      </c>
      <c r="N542" s="67">
        <v>2861.0983330663512</v>
      </c>
      <c r="O542" s="66">
        <v>0</v>
      </c>
      <c r="P542" s="13">
        <f t="shared" si="16"/>
        <v>1</v>
      </c>
      <c r="Q542" s="71"/>
      <c r="R542" s="71"/>
    </row>
    <row r="543" spans="1:18" ht="29.55" x14ac:dyDescent="0.3">
      <c r="A543" s="14" t="s">
        <v>123</v>
      </c>
      <c r="B543" s="11" t="s">
        <v>164</v>
      </c>
      <c r="C543" s="14">
        <v>3883179</v>
      </c>
      <c r="D543" s="25" t="s">
        <v>384</v>
      </c>
      <c r="E543" s="42" t="s">
        <v>386</v>
      </c>
      <c r="F543" s="50" t="s">
        <v>692</v>
      </c>
      <c r="G543" s="50" t="s">
        <v>692</v>
      </c>
      <c r="H543" s="50" t="s">
        <v>692</v>
      </c>
      <c r="I543" s="50" t="s">
        <v>692</v>
      </c>
      <c r="J543" s="67">
        <v>125322.35</v>
      </c>
      <c r="K543" s="67">
        <v>19434.125757545524</v>
      </c>
      <c r="L543" s="67">
        <v>105888.22424245448</v>
      </c>
      <c r="M543" s="67">
        <v>105888.22424245448</v>
      </c>
      <c r="N543" s="67">
        <v>0</v>
      </c>
      <c r="O543" s="66">
        <v>0</v>
      </c>
      <c r="P543" s="13">
        <f t="shared" si="16"/>
        <v>0.84492689645904717</v>
      </c>
      <c r="Q543" s="71"/>
      <c r="R543" s="71"/>
    </row>
    <row r="544" spans="1:18" x14ac:dyDescent="0.3">
      <c r="A544" s="14" t="s">
        <v>123</v>
      </c>
      <c r="B544" s="11" t="s">
        <v>164</v>
      </c>
      <c r="C544" s="14">
        <v>3883179</v>
      </c>
      <c r="D544" s="25" t="s">
        <v>384</v>
      </c>
      <c r="E544" s="42" t="s">
        <v>387</v>
      </c>
      <c r="F544" s="50" t="s">
        <v>692</v>
      </c>
      <c r="G544" s="50" t="s">
        <v>692</v>
      </c>
      <c r="H544" s="50" t="s">
        <v>692</v>
      </c>
      <c r="I544" s="50" t="s">
        <v>692</v>
      </c>
      <c r="J544" s="67">
        <v>73800</v>
      </c>
      <c r="K544" s="67">
        <v>11444.392500000002</v>
      </c>
      <c r="L544" s="67">
        <v>62355.607499999998</v>
      </c>
      <c r="M544" s="67">
        <v>62355.607499999998</v>
      </c>
      <c r="N544" s="67">
        <v>0</v>
      </c>
      <c r="O544" s="66">
        <v>0</v>
      </c>
      <c r="P544" s="13">
        <f t="shared" si="16"/>
        <v>0.84492693089430893</v>
      </c>
      <c r="Q544" s="71"/>
      <c r="R544" s="71"/>
    </row>
    <row r="545" spans="1:18" x14ac:dyDescent="0.3">
      <c r="A545" s="14" t="s">
        <v>123</v>
      </c>
      <c r="B545" s="11" t="s">
        <v>164</v>
      </c>
      <c r="C545" s="14">
        <v>3883179</v>
      </c>
      <c r="D545" s="25" t="s">
        <v>384</v>
      </c>
      <c r="E545" s="42" t="s">
        <v>388</v>
      </c>
      <c r="F545" s="12" t="s">
        <v>692</v>
      </c>
      <c r="G545" s="12" t="s">
        <v>692</v>
      </c>
      <c r="H545" s="12" t="s">
        <v>692</v>
      </c>
      <c r="I545" s="12" t="s">
        <v>692</v>
      </c>
      <c r="J545" s="67">
        <v>0</v>
      </c>
      <c r="K545" s="67">
        <v>0</v>
      </c>
      <c r="L545" s="67">
        <v>0</v>
      </c>
      <c r="M545" s="67">
        <v>0</v>
      </c>
      <c r="N545" s="67">
        <v>0</v>
      </c>
      <c r="O545" s="66">
        <v>0</v>
      </c>
      <c r="P545" s="13" t="e">
        <f t="shared" si="16"/>
        <v>#DIV/0!</v>
      </c>
      <c r="Q545" s="71"/>
      <c r="R545" s="71"/>
    </row>
    <row r="546" spans="1:18" x14ac:dyDescent="0.3">
      <c r="A546" s="11" t="s">
        <v>123</v>
      </c>
      <c r="B546" s="12" t="s">
        <v>601</v>
      </c>
      <c r="C546" s="12">
        <v>3880739</v>
      </c>
      <c r="D546" s="12" t="s">
        <v>656</v>
      </c>
      <c r="E546" s="41" t="s">
        <v>657</v>
      </c>
      <c r="F546" s="12" t="s">
        <v>692</v>
      </c>
      <c r="G546" s="12" t="s">
        <v>692</v>
      </c>
      <c r="H546" s="12" t="s">
        <v>692</v>
      </c>
      <c r="I546" s="12" t="s">
        <v>692</v>
      </c>
      <c r="J546" s="64">
        <v>146985</v>
      </c>
      <c r="K546" s="64">
        <v>0</v>
      </c>
      <c r="L546" s="64">
        <v>146985</v>
      </c>
      <c r="M546" s="64">
        <v>0</v>
      </c>
      <c r="N546" s="64">
        <v>146985</v>
      </c>
      <c r="O546" s="66">
        <v>0</v>
      </c>
      <c r="P546" s="13">
        <f t="shared" si="16"/>
        <v>1</v>
      </c>
      <c r="Q546" s="71"/>
      <c r="R546" s="71"/>
    </row>
    <row r="547" spans="1:18" x14ac:dyDescent="0.3">
      <c r="A547" s="11" t="s">
        <v>123</v>
      </c>
      <c r="B547" s="12" t="s">
        <v>474</v>
      </c>
      <c r="C547" s="12">
        <v>3876675</v>
      </c>
      <c r="D547" s="12" t="s">
        <v>587</v>
      </c>
      <c r="E547" s="41" t="s">
        <v>136</v>
      </c>
      <c r="F547" s="12" t="s">
        <v>692</v>
      </c>
      <c r="G547" s="12" t="s">
        <v>692</v>
      </c>
      <c r="H547" s="12" t="s">
        <v>692</v>
      </c>
      <c r="I547" s="12" t="s">
        <v>692</v>
      </c>
      <c r="J547" s="64">
        <v>43526</v>
      </c>
      <c r="K547" s="64">
        <v>0</v>
      </c>
      <c r="L547" s="64">
        <v>43526</v>
      </c>
      <c r="M547" s="64">
        <v>0</v>
      </c>
      <c r="N547" s="64">
        <v>0</v>
      </c>
      <c r="O547" s="66">
        <v>43526</v>
      </c>
      <c r="P547" s="13">
        <f t="shared" si="16"/>
        <v>1</v>
      </c>
      <c r="Q547" s="71"/>
      <c r="R547" s="71"/>
    </row>
    <row r="548" spans="1:18" x14ac:dyDescent="0.3">
      <c r="A548" s="11" t="s">
        <v>123</v>
      </c>
      <c r="B548" s="12" t="s">
        <v>474</v>
      </c>
      <c r="C548" s="12">
        <v>3876675</v>
      </c>
      <c r="D548" s="12" t="s">
        <v>587</v>
      </c>
      <c r="E548" s="41" t="s">
        <v>588</v>
      </c>
      <c r="F548" s="12" t="s">
        <v>692</v>
      </c>
      <c r="G548" s="12" t="s">
        <v>692</v>
      </c>
      <c r="H548" s="12" t="s">
        <v>692</v>
      </c>
      <c r="I548" s="12" t="s">
        <v>692</v>
      </c>
      <c r="J548" s="64">
        <v>22454.68</v>
      </c>
      <c r="K548" s="64">
        <v>0</v>
      </c>
      <c r="L548" s="64">
        <v>22454.68</v>
      </c>
      <c r="M548" s="64">
        <v>0</v>
      </c>
      <c r="N548" s="64">
        <v>0</v>
      </c>
      <c r="O548" s="66">
        <v>22454.68</v>
      </c>
      <c r="P548" s="13">
        <f t="shared" si="16"/>
        <v>1</v>
      </c>
      <c r="Q548" s="71"/>
      <c r="R548" s="71"/>
    </row>
    <row r="549" spans="1:18" x14ac:dyDescent="0.3">
      <c r="A549" s="11" t="s">
        <v>123</v>
      </c>
      <c r="B549" s="12" t="s">
        <v>474</v>
      </c>
      <c r="C549" s="12">
        <v>3876675</v>
      </c>
      <c r="D549" s="12" t="s">
        <v>587</v>
      </c>
      <c r="E549" s="41" t="s">
        <v>589</v>
      </c>
      <c r="F549" s="12" t="s">
        <v>692</v>
      </c>
      <c r="G549" s="12" t="s">
        <v>692</v>
      </c>
      <c r="H549" s="12" t="s">
        <v>692</v>
      </c>
      <c r="I549" s="12" t="s">
        <v>692</v>
      </c>
      <c r="J549" s="64">
        <v>27164.68</v>
      </c>
      <c r="K549" s="64">
        <v>0</v>
      </c>
      <c r="L549" s="64">
        <v>27164.68</v>
      </c>
      <c r="M549" s="64">
        <v>0</v>
      </c>
      <c r="N549" s="64">
        <v>0</v>
      </c>
      <c r="O549" s="66">
        <v>27164.68</v>
      </c>
      <c r="P549" s="13">
        <f t="shared" si="16"/>
        <v>1</v>
      </c>
      <c r="Q549" s="71"/>
      <c r="R549" s="71"/>
    </row>
    <row r="550" spans="1:18" ht="29.55" x14ac:dyDescent="0.3">
      <c r="A550" s="14" t="s">
        <v>123</v>
      </c>
      <c r="B550" s="11" t="s">
        <v>164</v>
      </c>
      <c r="C550" s="14">
        <v>3877493</v>
      </c>
      <c r="D550" s="14" t="s">
        <v>389</v>
      </c>
      <c r="E550" s="41" t="s">
        <v>192</v>
      </c>
      <c r="F550" s="50" t="s">
        <v>692</v>
      </c>
      <c r="G550" s="50" t="s">
        <v>692</v>
      </c>
      <c r="H550" s="50" t="s">
        <v>692</v>
      </c>
      <c r="I550" s="50" t="s">
        <v>692</v>
      </c>
      <c r="J550" s="67">
        <v>71955</v>
      </c>
      <c r="K550" s="67">
        <v>0</v>
      </c>
      <c r="L550" s="67">
        <v>71955</v>
      </c>
      <c r="M550" s="67">
        <v>0</v>
      </c>
      <c r="N550" s="67">
        <v>0</v>
      </c>
      <c r="O550" s="66">
        <v>71955</v>
      </c>
      <c r="P550" s="13">
        <f t="shared" si="16"/>
        <v>1</v>
      </c>
      <c r="Q550" s="71"/>
      <c r="R550" s="71"/>
    </row>
    <row r="551" spans="1:18" x14ac:dyDescent="0.3">
      <c r="A551" s="14" t="s">
        <v>123</v>
      </c>
      <c r="B551" s="11" t="s">
        <v>164</v>
      </c>
      <c r="C551" s="14">
        <v>3877493</v>
      </c>
      <c r="D551" s="14" t="s">
        <v>389</v>
      </c>
      <c r="E551" s="42" t="s">
        <v>390</v>
      </c>
      <c r="F551" s="50" t="s">
        <v>692</v>
      </c>
      <c r="G551" s="50" t="s">
        <v>692</v>
      </c>
      <c r="H551" s="50" t="s">
        <v>692</v>
      </c>
      <c r="I551" s="50" t="s">
        <v>692</v>
      </c>
      <c r="J551" s="67">
        <v>19680</v>
      </c>
      <c r="K551" s="67">
        <v>0</v>
      </c>
      <c r="L551" s="67">
        <v>19680</v>
      </c>
      <c r="M551" s="67">
        <v>0</v>
      </c>
      <c r="N551" s="67">
        <v>0</v>
      </c>
      <c r="O551" s="66">
        <v>19680</v>
      </c>
      <c r="P551" s="13">
        <f t="shared" si="16"/>
        <v>1</v>
      </c>
      <c r="Q551" s="71"/>
      <c r="R551" s="71"/>
    </row>
    <row r="552" spans="1:18" x14ac:dyDescent="0.3">
      <c r="A552" s="14" t="s">
        <v>123</v>
      </c>
      <c r="B552" s="11" t="s">
        <v>164</v>
      </c>
      <c r="C552" s="14">
        <v>3877493</v>
      </c>
      <c r="D552" s="14" t="s">
        <v>389</v>
      </c>
      <c r="E552" s="42" t="s">
        <v>391</v>
      </c>
      <c r="F552" s="50" t="s">
        <v>692</v>
      </c>
      <c r="G552" s="50" t="s">
        <v>692</v>
      </c>
      <c r="H552" s="50" t="s">
        <v>692</v>
      </c>
      <c r="I552" s="50" t="s">
        <v>692</v>
      </c>
      <c r="J552" s="67">
        <v>19680</v>
      </c>
      <c r="K552" s="67">
        <v>0</v>
      </c>
      <c r="L552" s="67">
        <v>19680</v>
      </c>
      <c r="M552" s="67">
        <v>0</v>
      </c>
      <c r="N552" s="67">
        <v>0</v>
      </c>
      <c r="O552" s="66">
        <v>19680</v>
      </c>
      <c r="P552" s="13">
        <f t="shared" si="16"/>
        <v>1</v>
      </c>
      <c r="Q552" s="71"/>
      <c r="R552" s="71"/>
    </row>
    <row r="553" spans="1:18" x14ac:dyDescent="0.3">
      <c r="A553" s="14" t="s">
        <v>123</v>
      </c>
      <c r="B553" s="11" t="s">
        <v>164</v>
      </c>
      <c r="C553" s="14">
        <v>3877493</v>
      </c>
      <c r="D553" s="14" t="s">
        <v>389</v>
      </c>
      <c r="E553" s="42" t="s">
        <v>392</v>
      </c>
      <c r="F553" s="50" t="s">
        <v>692</v>
      </c>
      <c r="G553" s="50" t="s">
        <v>692</v>
      </c>
      <c r="H553" s="50" t="s">
        <v>692</v>
      </c>
      <c r="I553" s="50" t="s">
        <v>692</v>
      </c>
      <c r="J553" s="67">
        <v>9963</v>
      </c>
      <c r="K553" s="67">
        <v>0</v>
      </c>
      <c r="L553" s="67">
        <v>9963</v>
      </c>
      <c r="M553" s="67">
        <v>0</v>
      </c>
      <c r="N553" s="67">
        <v>0</v>
      </c>
      <c r="O553" s="66">
        <v>9963</v>
      </c>
      <c r="P553" s="13">
        <f t="shared" si="16"/>
        <v>1</v>
      </c>
      <c r="Q553" s="71"/>
      <c r="R553" s="71"/>
    </row>
    <row r="554" spans="1:18" x14ac:dyDescent="0.3">
      <c r="A554" s="14" t="s">
        <v>123</v>
      </c>
      <c r="B554" s="11" t="s">
        <v>164</v>
      </c>
      <c r="C554" s="14">
        <v>3877493</v>
      </c>
      <c r="D554" s="14" t="s">
        <v>389</v>
      </c>
      <c r="E554" s="42" t="s">
        <v>393</v>
      </c>
      <c r="F554" s="50" t="s">
        <v>692</v>
      </c>
      <c r="G554" s="50" t="s">
        <v>692</v>
      </c>
      <c r="H554" s="50" t="s">
        <v>692</v>
      </c>
      <c r="I554" s="50" t="s">
        <v>692</v>
      </c>
      <c r="J554" s="67">
        <v>18450</v>
      </c>
      <c r="K554" s="67">
        <v>0</v>
      </c>
      <c r="L554" s="67">
        <v>18450</v>
      </c>
      <c r="M554" s="67">
        <v>0</v>
      </c>
      <c r="N554" s="67">
        <v>0</v>
      </c>
      <c r="O554" s="66">
        <v>18450</v>
      </c>
      <c r="P554" s="13">
        <f t="shared" si="16"/>
        <v>1</v>
      </c>
      <c r="Q554" s="71"/>
      <c r="R554" s="71"/>
    </row>
    <row r="555" spans="1:18" x14ac:dyDescent="0.3">
      <c r="A555" s="14" t="s">
        <v>123</v>
      </c>
      <c r="B555" s="11" t="s">
        <v>164</v>
      </c>
      <c r="C555" s="14">
        <v>3877493</v>
      </c>
      <c r="D555" s="14" t="s">
        <v>389</v>
      </c>
      <c r="E555" s="42" t="s">
        <v>394</v>
      </c>
      <c r="F555" s="50" t="s">
        <v>692</v>
      </c>
      <c r="G555" s="50" t="s">
        <v>692</v>
      </c>
      <c r="H555" s="50" t="s">
        <v>692</v>
      </c>
      <c r="I555" s="50" t="s">
        <v>692</v>
      </c>
      <c r="J555" s="67">
        <v>12454.98</v>
      </c>
      <c r="K555" s="67">
        <v>0</v>
      </c>
      <c r="L555" s="67">
        <v>12454.98</v>
      </c>
      <c r="M555" s="67">
        <v>0</v>
      </c>
      <c r="N555" s="67">
        <v>0</v>
      </c>
      <c r="O555" s="66">
        <v>12454.98</v>
      </c>
      <c r="P555" s="13">
        <f t="shared" si="16"/>
        <v>1</v>
      </c>
      <c r="Q555" s="71"/>
      <c r="R555" s="71"/>
    </row>
    <row r="556" spans="1:18" x14ac:dyDescent="0.3">
      <c r="A556" s="14" t="s">
        <v>123</v>
      </c>
      <c r="B556" s="11" t="s">
        <v>164</v>
      </c>
      <c r="C556" s="14">
        <v>3877493</v>
      </c>
      <c r="D556" s="14" t="s">
        <v>389</v>
      </c>
      <c r="E556" s="42" t="s">
        <v>395</v>
      </c>
      <c r="F556" s="50" t="s">
        <v>692</v>
      </c>
      <c r="G556" s="50" t="s">
        <v>692</v>
      </c>
      <c r="H556" s="50" t="s">
        <v>692</v>
      </c>
      <c r="I556" s="50" t="s">
        <v>692</v>
      </c>
      <c r="J556" s="67">
        <v>26445</v>
      </c>
      <c r="K556" s="67">
        <v>0</v>
      </c>
      <c r="L556" s="67">
        <v>26445</v>
      </c>
      <c r="M556" s="67">
        <v>0</v>
      </c>
      <c r="N556" s="67">
        <v>0</v>
      </c>
      <c r="O556" s="66">
        <v>26445</v>
      </c>
      <c r="P556" s="13">
        <f t="shared" si="16"/>
        <v>1</v>
      </c>
      <c r="Q556" s="71"/>
      <c r="R556" s="71"/>
    </row>
    <row r="557" spans="1:18" x14ac:dyDescent="0.3">
      <c r="A557" s="14" t="s">
        <v>123</v>
      </c>
      <c r="B557" s="11" t="s">
        <v>164</v>
      </c>
      <c r="C557" s="26">
        <v>3886445</v>
      </c>
      <c r="D557" s="26" t="s">
        <v>396</v>
      </c>
      <c r="E557" s="47" t="s">
        <v>397</v>
      </c>
      <c r="F557" s="29" t="s">
        <v>692</v>
      </c>
      <c r="G557" s="29" t="s">
        <v>692</v>
      </c>
      <c r="H557" s="29" t="s">
        <v>692</v>
      </c>
      <c r="I557" s="29" t="s">
        <v>692</v>
      </c>
      <c r="J557" s="67">
        <v>149445</v>
      </c>
      <c r="K557" s="67">
        <v>0</v>
      </c>
      <c r="L557" s="67">
        <v>149445</v>
      </c>
      <c r="M557" s="67">
        <v>0</v>
      </c>
      <c r="N557" s="67">
        <v>5918.58</v>
      </c>
      <c r="O557" s="66">
        <v>143526.42000000001</v>
      </c>
      <c r="P557" s="13">
        <f t="shared" si="16"/>
        <v>1</v>
      </c>
      <c r="Q557" s="71"/>
      <c r="R557" s="71"/>
    </row>
    <row r="558" spans="1:18" x14ac:dyDescent="0.3">
      <c r="A558" s="15" t="s">
        <v>123</v>
      </c>
      <c r="B558" s="12" t="s">
        <v>5</v>
      </c>
      <c r="C558" s="16">
        <v>3837222</v>
      </c>
      <c r="D558" s="17" t="s">
        <v>150</v>
      </c>
      <c r="E558" s="43" t="s">
        <v>151</v>
      </c>
      <c r="F558" s="29" t="s">
        <v>692</v>
      </c>
      <c r="G558" s="29" t="s">
        <v>692</v>
      </c>
      <c r="H558" s="29" t="s">
        <v>692</v>
      </c>
      <c r="I558" s="29" t="s">
        <v>692</v>
      </c>
      <c r="J558" s="64">
        <v>135614.21</v>
      </c>
      <c r="K558" s="64">
        <v>0</v>
      </c>
      <c r="L558" s="64">
        <v>135614.21</v>
      </c>
      <c r="M558" s="64">
        <v>0</v>
      </c>
      <c r="N558" s="64">
        <v>20826.54</v>
      </c>
      <c r="O558" s="66">
        <v>114787.66999999998</v>
      </c>
      <c r="P558" s="13">
        <f t="shared" si="16"/>
        <v>1</v>
      </c>
      <c r="Q558" s="71"/>
      <c r="R558" s="71"/>
    </row>
    <row r="559" spans="1:18" ht="59.1" x14ac:dyDescent="0.3">
      <c r="A559" s="15" t="s">
        <v>123</v>
      </c>
      <c r="B559" s="12" t="s">
        <v>5</v>
      </c>
      <c r="C559" s="16">
        <v>3837222</v>
      </c>
      <c r="D559" s="17" t="s">
        <v>150</v>
      </c>
      <c r="E559" s="43" t="s">
        <v>152</v>
      </c>
      <c r="F559" s="29" t="s">
        <v>692</v>
      </c>
      <c r="G559" s="29" t="s">
        <v>692</v>
      </c>
      <c r="H559" s="29" t="s">
        <v>692</v>
      </c>
      <c r="I559" s="29" t="s">
        <v>692</v>
      </c>
      <c r="J559" s="64">
        <v>26568</v>
      </c>
      <c r="K559" s="64">
        <v>0</v>
      </c>
      <c r="L559" s="64">
        <v>26568</v>
      </c>
      <c r="M559" s="64">
        <v>0</v>
      </c>
      <c r="N559" s="64">
        <v>4080.1</v>
      </c>
      <c r="O559" s="66">
        <v>22487.9</v>
      </c>
      <c r="P559" s="13">
        <f t="shared" si="16"/>
        <v>1</v>
      </c>
      <c r="Q559" s="71"/>
      <c r="R559" s="71"/>
    </row>
    <row r="560" spans="1:18" x14ac:dyDescent="0.3">
      <c r="A560" s="15" t="s">
        <v>123</v>
      </c>
      <c r="B560" s="12" t="s">
        <v>5</v>
      </c>
      <c r="C560" s="16">
        <v>3837222</v>
      </c>
      <c r="D560" s="17" t="s">
        <v>150</v>
      </c>
      <c r="E560" s="43" t="s">
        <v>153</v>
      </c>
      <c r="F560" s="29" t="s">
        <v>692</v>
      </c>
      <c r="G560" s="29" t="s">
        <v>692</v>
      </c>
      <c r="H560" s="29" t="s">
        <v>692</v>
      </c>
      <c r="I560" s="29" t="s">
        <v>692</v>
      </c>
      <c r="J560" s="64">
        <v>18794.400000000001</v>
      </c>
      <c r="K560" s="64">
        <v>0</v>
      </c>
      <c r="L560" s="64">
        <v>18794.400000000001</v>
      </c>
      <c r="M560" s="64">
        <v>0</v>
      </c>
      <c r="N560" s="64">
        <v>2886.29</v>
      </c>
      <c r="O560" s="66">
        <v>15908.11</v>
      </c>
      <c r="P560" s="13">
        <f t="shared" si="16"/>
        <v>1</v>
      </c>
      <c r="Q560" s="71"/>
      <c r="R560" s="71"/>
    </row>
    <row r="561" spans="1:18" x14ac:dyDescent="0.3">
      <c r="A561" s="15" t="s">
        <v>123</v>
      </c>
      <c r="B561" s="12" t="s">
        <v>5</v>
      </c>
      <c r="C561" s="16">
        <v>3887349</v>
      </c>
      <c r="D561" s="27" t="s">
        <v>154</v>
      </c>
      <c r="E561" s="43" t="s">
        <v>155</v>
      </c>
      <c r="F561" s="29" t="s">
        <v>692</v>
      </c>
      <c r="G561" s="29">
        <v>23650</v>
      </c>
      <c r="H561" s="29">
        <v>10356197</v>
      </c>
      <c r="I561" s="29" t="s">
        <v>692</v>
      </c>
      <c r="J561" s="64">
        <v>19495.5</v>
      </c>
      <c r="K561" s="64">
        <v>2993.96</v>
      </c>
      <c r="L561" s="64">
        <v>16501.54</v>
      </c>
      <c r="M561" s="64">
        <v>0</v>
      </c>
      <c r="N561" s="64">
        <v>0</v>
      </c>
      <c r="O561" s="66">
        <v>16501.54</v>
      </c>
      <c r="P561" s="13">
        <f t="shared" si="16"/>
        <v>0.84642815008591732</v>
      </c>
      <c r="Q561" s="71"/>
      <c r="R561" s="71"/>
    </row>
    <row r="562" spans="1:18" x14ac:dyDescent="0.3">
      <c r="A562" s="15" t="s">
        <v>123</v>
      </c>
      <c r="B562" s="12" t="s">
        <v>5</v>
      </c>
      <c r="C562" s="16">
        <v>3887349</v>
      </c>
      <c r="D562" s="27" t="s">
        <v>154</v>
      </c>
      <c r="E562" s="43" t="s">
        <v>156</v>
      </c>
      <c r="F562" s="29" t="s">
        <v>692</v>
      </c>
      <c r="G562" s="29">
        <v>23650</v>
      </c>
      <c r="H562" s="29">
        <v>10356531</v>
      </c>
      <c r="I562" s="29" t="s">
        <v>692</v>
      </c>
      <c r="J562" s="64">
        <v>10455</v>
      </c>
      <c r="K562" s="64">
        <v>1605.59</v>
      </c>
      <c r="L562" s="64">
        <v>8849.41</v>
      </c>
      <c r="M562" s="64">
        <v>0</v>
      </c>
      <c r="N562" s="64">
        <v>0</v>
      </c>
      <c r="O562" s="66">
        <v>8849.41</v>
      </c>
      <c r="P562" s="13">
        <f t="shared" si="16"/>
        <v>0.84642850310856044</v>
      </c>
      <c r="Q562" s="71"/>
      <c r="R562" s="71"/>
    </row>
    <row r="563" spans="1:18" x14ac:dyDescent="0.3">
      <c r="A563" s="15" t="s">
        <v>123</v>
      </c>
      <c r="B563" s="12" t="s">
        <v>5</v>
      </c>
      <c r="C563" s="16">
        <v>3887349</v>
      </c>
      <c r="D563" s="27" t="s">
        <v>154</v>
      </c>
      <c r="E563" s="45" t="s">
        <v>157</v>
      </c>
      <c r="F563" s="29" t="s">
        <v>692</v>
      </c>
      <c r="G563" s="29">
        <v>23650</v>
      </c>
      <c r="H563" s="29">
        <v>10356895</v>
      </c>
      <c r="I563" s="29" t="s">
        <v>692</v>
      </c>
      <c r="J563" s="64">
        <v>33640.5</v>
      </c>
      <c r="K563" s="64">
        <v>5166.24</v>
      </c>
      <c r="L563" s="64">
        <v>28474.26</v>
      </c>
      <c r="M563" s="64">
        <v>0</v>
      </c>
      <c r="N563" s="64">
        <v>0</v>
      </c>
      <c r="O563" s="66">
        <v>28474.26</v>
      </c>
      <c r="P563" s="13">
        <f t="shared" si="16"/>
        <v>0.84642796629063177</v>
      </c>
      <c r="Q563" s="71"/>
      <c r="R563" s="71"/>
    </row>
    <row r="564" spans="1:18" x14ac:dyDescent="0.3">
      <c r="A564" s="15" t="s">
        <v>123</v>
      </c>
      <c r="B564" s="12" t="s">
        <v>5</v>
      </c>
      <c r="C564" s="16">
        <v>3887349</v>
      </c>
      <c r="D564" s="27" t="s">
        <v>154</v>
      </c>
      <c r="E564" s="43" t="s">
        <v>158</v>
      </c>
      <c r="F564" s="50" t="s">
        <v>692</v>
      </c>
      <c r="G564" s="50">
        <v>23650</v>
      </c>
      <c r="H564" s="50">
        <v>10358567</v>
      </c>
      <c r="I564" s="50" t="s">
        <v>692</v>
      </c>
      <c r="J564" s="64">
        <v>18302.400000000001</v>
      </c>
      <c r="K564" s="64">
        <v>2810.73</v>
      </c>
      <c r="L564" s="64">
        <v>15491.67</v>
      </c>
      <c r="M564" s="64">
        <v>0</v>
      </c>
      <c r="N564" s="64">
        <v>0</v>
      </c>
      <c r="O564" s="66">
        <v>15491.67</v>
      </c>
      <c r="P564" s="13">
        <f t="shared" si="16"/>
        <v>0.84642833726724354</v>
      </c>
      <c r="Q564" s="71"/>
      <c r="R564" s="71"/>
    </row>
    <row r="565" spans="1:18" x14ac:dyDescent="0.3">
      <c r="A565" s="14" t="s">
        <v>123</v>
      </c>
      <c r="B565" s="11" t="s">
        <v>164</v>
      </c>
      <c r="C565" s="14">
        <v>3883297</v>
      </c>
      <c r="D565" s="14" t="s">
        <v>398</v>
      </c>
      <c r="E565" s="42" t="s">
        <v>67</v>
      </c>
      <c r="F565" s="12" t="s">
        <v>692</v>
      </c>
      <c r="G565" s="12" t="s">
        <v>692</v>
      </c>
      <c r="H565" s="12" t="s">
        <v>692</v>
      </c>
      <c r="I565" s="12" t="s">
        <v>692</v>
      </c>
      <c r="J565" s="67">
        <v>99138</v>
      </c>
      <c r="K565" s="67">
        <v>0</v>
      </c>
      <c r="L565" s="67">
        <v>99138</v>
      </c>
      <c r="M565" s="67">
        <v>0</v>
      </c>
      <c r="N565" s="67">
        <v>15373.635043009854</v>
      </c>
      <c r="O565" s="66">
        <v>83764.364956990146</v>
      </c>
      <c r="P565" s="13">
        <f t="shared" si="16"/>
        <v>1</v>
      </c>
      <c r="Q565" s="71"/>
      <c r="R565" s="71"/>
    </row>
    <row r="566" spans="1:18" x14ac:dyDescent="0.3">
      <c r="A566" s="11" t="s">
        <v>123</v>
      </c>
      <c r="B566" s="12" t="s">
        <v>601</v>
      </c>
      <c r="C566" s="12">
        <v>3890167</v>
      </c>
      <c r="D566" s="12" t="s">
        <v>658</v>
      </c>
      <c r="E566" s="41" t="s">
        <v>371</v>
      </c>
      <c r="F566" s="12" t="s">
        <v>692</v>
      </c>
      <c r="G566" s="12" t="s">
        <v>692</v>
      </c>
      <c r="H566" s="12" t="s">
        <v>692</v>
      </c>
      <c r="I566" s="12" t="s">
        <v>692</v>
      </c>
      <c r="J566" s="64">
        <v>105638.55</v>
      </c>
      <c r="K566" s="64">
        <v>0</v>
      </c>
      <c r="L566" s="64">
        <v>105638.55</v>
      </c>
      <c r="M566" s="64">
        <v>14600.45</v>
      </c>
      <c r="N566" s="64">
        <v>91038.1</v>
      </c>
      <c r="O566" s="66">
        <v>0</v>
      </c>
      <c r="P566" s="13">
        <f t="shared" si="16"/>
        <v>1</v>
      </c>
      <c r="Q566" s="71"/>
      <c r="R566" s="71"/>
    </row>
    <row r="567" spans="1:18" x14ac:dyDescent="0.3">
      <c r="A567" s="11" t="s">
        <v>123</v>
      </c>
      <c r="B567" s="12" t="s">
        <v>601</v>
      </c>
      <c r="C567" s="12">
        <v>3890167</v>
      </c>
      <c r="D567" s="12" t="s">
        <v>658</v>
      </c>
      <c r="E567" s="41" t="s">
        <v>126</v>
      </c>
      <c r="F567" s="12" t="s">
        <v>692</v>
      </c>
      <c r="G567" s="12" t="s">
        <v>692</v>
      </c>
      <c r="H567" s="12" t="s">
        <v>692</v>
      </c>
      <c r="I567" s="12" t="s">
        <v>692</v>
      </c>
      <c r="J567" s="64">
        <v>94347.6</v>
      </c>
      <c r="K567" s="64">
        <v>0</v>
      </c>
      <c r="L567" s="64">
        <v>94347.6</v>
      </c>
      <c r="M567" s="64">
        <v>0</v>
      </c>
      <c r="N567" s="64">
        <v>14152.142898546968</v>
      </c>
      <c r="O567" s="66">
        <v>80195.457101453037</v>
      </c>
      <c r="P567" s="13">
        <f t="shared" si="16"/>
        <v>1</v>
      </c>
      <c r="Q567" s="71"/>
      <c r="R567" s="71"/>
    </row>
    <row r="568" spans="1:18" x14ac:dyDescent="0.3">
      <c r="A568" s="11" t="s">
        <v>123</v>
      </c>
      <c r="B568" s="12" t="s">
        <v>601</v>
      </c>
      <c r="C568" s="12">
        <v>3909277</v>
      </c>
      <c r="D568" s="12" t="s">
        <v>659</v>
      </c>
      <c r="E568" s="41" t="s">
        <v>679</v>
      </c>
      <c r="F568" s="12" t="s">
        <v>692</v>
      </c>
      <c r="G568" s="12" t="s">
        <v>692</v>
      </c>
      <c r="H568" s="12" t="s">
        <v>692</v>
      </c>
      <c r="I568" s="12" t="s">
        <v>692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6">
        <v>0</v>
      </c>
      <c r="P568" s="13" t="e">
        <f t="shared" si="16"/>
        <v>#DIV/0!</v>
      </c>
      <c r="Q568" s="71"/>
      <c r="R568" s="71"/>
    </row>
    <row r="569" spans="1:18" x14ac:dyDescent="0.3">
      <c r="A569" s="11" t="s">
        <v>123</v>
      </c>
      <c r="B569" s="12" t="s">
        <v>601</v>
      </c>
      <c r="C569" s="12">
        <v>3909277</v>
      </c>
      <c r="D569" s="12" t="s">
        <v>659</v>
      </c>
      <c r="E569" s="41" t="s">
        <v>660</v>
      </c>
      <c r="F569" s="12" t="s">
        <v>692</v>
      </c>
      <c r="G569" s="12" t="s">
        <v>692</v>
      </c>
      <c r="H569" s="12" t="s">
        <v>692</v>
      </c>
      <c r="I569" s="12" t="s">
        <v>692</v>
      </c>
      <c r="J569" s="64">
        <v>134998.65</v>
      </c>
      <c r="K569" s="64">
        <v>0</v>
      </c>
      <c r="L569" s="64">
        <v>134998.65</v>
      </c>
      <c r="M569" s="64">
        <v>0</v>
      </c>
      <c r="N569" s="64">
        <v>20249.801647428525</v>
      </c>
      <c r="O569" s="66">
        <v>114748.84835257147</v>
      </c>
      <c r="P569" s="13">
        <f t="shared" si="16"/>
        <v>1</v>
      </c>
      <c r="Q569" s="71"/>
      <c r="R569" s="71"/>
    </row>
    <row r="570" spans="1:18" x14ac:dyDescent="0.3">
      <c r="A570" s="15" t="s">
        <v>123</v>
      </c>
      <c r="B570" s="12" t="s">
        <v>5</v>
      </c>
      <c r="C570" s="16">
        <v>3906032</v>
      </c>
      <c r="D570" s="20" t="s">
        <v>159</v>
      </c>
      <c r="E570" s="41" t="s">
        <v>59</v>
      </c>
      <c r="F570" s="29" t="s">
        <v>692</v>
      </c>
      <c r="G570" s="29" t="s">
        <v>692</v>
      </c>
      <c r="H570" s="29" t="s">
        <v>692</v>
      </c>
      <c r="I570" s="29" t="s">
        <v>692</v>
      </c>
      <c r="J570" s="64">
        <v>76260</v>
      </c>
      <c r="K570" s="64">
        <v>0</v>
      </c>
      <c r="L570" s="64">
        <v>76260</v>
      </c>
      <c r="M570" s="64">
        <v>0</v>
      </c>
      <c r="N570" s="64">
        <v>11711.395813507865</v>
      </c>
      <c r="O570" s="66">
        <v>64548.604186492135</v>
      </c>
      <c r="P570" s="13">
        <f t="shared" si="16"/>
        <v>1</v>
      </c>
      <c r="Q570" s="71"/>
      <c r="R570" s="71"/>
    </row>
    <row r="571" spans="1:18" x14ac:dyDescent="0.3">
      <c r="A571" s="15" t="s">
        <v>123</v>
      </c>
      <c r="B571" s="12" t="s">
        <v>5</v>
      </c>
      <c r="C571" s="16">
        <v>3906032</v>
      </c>
      <c r="D571" s="20" t="s">
        <v>159</v>
      </c>
      <c r="E571" s="44" t="s">
        <v>160</v>
      </c>
      <c r="F571" s="29" t="s">
        <v>692</v>
      </c>
      <c r="G571" s="29" t="s">
        <v>692</v>
      </c>
      <c r="H571" s="29" t="s">
        <v>692</v>
      </c>
      <c r="I571" s="29" t="s">
        <v>692</v>
      </c>
      <c r="J571" s="64">
        <v>73800</v>
      </c>
      <c r="K571" s="64">
        <v>0</v>
      </c>
      <c r="L571" s="64">
        <v>73800</v>
      </c>
      <c r="M571" s="64">
        <v>0</v>
      </c>
      <c r="N571" s="64">
        <v>11333.608851781799</v>
      </c>
      <c r="O571" s="66">
        <v>62466.391148218201</v>
      </c>
      <c r="P571" s="13">
        <f t="shared" si="16"/>
        <v>1</v>
      </c>
      <c r="Q571" s="71"/>
      <c r="R571" s="71"/>
    </row>
    <row r="572" spans="1:18" x14ac:dyDescent="0.3">
      <c r="A572" s="15" t="s">
        <v>123</v>
      </c>
      <c r="B572" s="12" t="s">
        <v>5</v>
      </c>
      <c r="C572" s="16">
        <v>3906032</v>
      </c>
      <c r="D572" s="20" t="s">
        <v>159</v>
      </c>
      <c r="E572" s="44" t="s">
        <v>161</v>
      </c>
      <c r="F572" s="29" t="s">
        <v>692</v>
      </c>
      <c r="G572" s="29">
        <v>23650</v>
      </c>
      <c r="H572" s="29">
        <v>10357662</v>
      </c>
      <c r="I572" s="29" t="s">
        <v>692</v>
      </c>
      <c r="J572" s="64">
        <v>28290</v>
      </c>
      <c r="K572" s="64">
        <v>4344.55</v>
      </c>
      <c r="L572" s="64">
        <v>23945.45</v>
      </c>
      <c r="M572" s="64">
        <v>0</v>
      </c>
      <c r="N572" s="64">
        <v>0</v>
      </c>
      <c r="O572" s="66">
        <v>23945.45</v>
      </c>
      <c r="P572" s="13">
        <f t="shared" si="16"/>
        <v>0.84642806645457758</v>
      </c>
      <c r="Q572" s="71"/>
      <c r="R572" s="71"/>
    </row>
    <row r="573" spans="1:18" x14ac:dyDescent="0.3">
      <c r="A573" s="15" t="s">
        <v>123</v>
      </c>
      <c r="B573" s="12" t="s">
        <v>5</v>
      </c>
      <c r="C573" s="16">
        <v>3906032</v>
      </c>
      <c r="D573" s="27" t="s">
        <v>159</v>
      </c>
      <c r="E573" s="44" t="s">
        <v>162</v>
      </c>
      <c r="F573" s="12" t="s">
        <v>692</v>
      </c>
      <c r="G573" s="12">
        <v>23650</v>
      </c>
      <c r="H573" s="12">
        <v>10358129</v>
      </c>
      <c r="I573" s="12" t="s">
        <v>692</v>
      </c>
      <c r="J573" s="64">
        <v>29520</v>
      </c>
      <c r="K573" s="64">
        <v>4533.4399999999996</v>
      </c>
      <c r="L573" s="64">
        <v>24986.560000000001</v>
      </c>
      <c r="M573" s="64">
        <v>0</v>
      </c>
      <c r="N573" s="64">
        <v>0</v>
      </c>
      <c r="O573" s="66">
        <v>24986.560000000001</v>
      </c>
      <c r="P573" s="13">
        <f t="shared" si="16"/>
        <v>0.84642818428184285</v>
      </c>
      <c r="Q573" s="71"/>
      <c r="R573" s="71"/>
    </row>
    <row r="574" spans="1:18" x14ac:dyDescent="0.3">
      <c r="A574" s="11" t="s">
        <v>123</v>
      </c>
      <c r="B574" s="12" t="s">
        <v>474</v>
      </c>
      <c r="C574" s="12">
        <v>3922511</v>
      </c>
      <c r="D574" s="12" t="s">
        <v>590</v>
      </c>
      <c r="E574" s="41" t="s">
        <v>591</v>
      </c>
      <c r="F574" s="12" t="s">
        <v>692</v>
      </c>
      <c r="G574" s="12" t="s">
        <v>692</v>
      </c>
      <c r="H574" s="12" t="s">
        <v>692</v>
      </c>
      <c r="I574" s="12" t="s">
        <v>692</v>
      </c>
      <c r="J574" s="64">
        <v>42000</v>
      </c>
      <c r="K574" s="64">
        <v>6300</v>
      </c>
      <c r="L574" s="64">
        <v>35700</v>
      </c>
      <c r="M574" s="64">
        <v>0</v>
      </c>
      <c r="N574" s="64">
        <v>0</v>
      </c>
      <c r="O574" s="66">
        <v>35700</v>
      </c>
      <c r="P574" s="13">
        <f t="shared" si="16"/>
        <v>0.85</v>
      </c>
      <c r="Q574" s="71"/>
      <c r="R574" s="71"/>
    </row>
    <row r="575" spans="1:18" x14ac:dyDescent="0.3">
      <c r="A575" s="11" t="s">
        <v>123</v>
      </c>
      <c r="B575" s="12" t="s">
        <v>474</v>
      </c>
      <c r="C575" s="12">
        <v>3922511</v>
      </c>
      <c r="D575" s="12" t="s">
        <v>590</v>
      </c>
      <c r="E575" s="41" t="s">
        <v>592</v>
      </c>
      <c r="F575" s="29" t="s">
        <v>692</v>
      </c>
      <c r="G575" s="29" t="s">
        <v>692</v>
      </c>
      <c r="H575" s="29" t="s">
        <v>692</v>
      </c>
      <c r="I575" s="29" t="s">
        <v>692</v>
      </c>
      <c r="J575" s="64">
        <v>46200</v>
      </c>
      <c r="K575" s="64">
        <v>6930</v>
      </c>
      <c r="L575" s="64">
        <v>39270</v>
      </c>
      <c r="M575" s="64">
        <v>0</v>
      </c>
      <c r="N575" s="64">
        <v>0</v>
      </c>
      <c r="O575" s="66">
        <v>39270</v>
      </c>
      <c r="P575" s="13">
        <f t="shared" si="16"/>
        <v>0.85</v>
      </c>
      <c r="Q575" s="71"/>
      <c r="R575" s="71"/>
    </row>
    <row r="576" spans="1:18" x14ac:dyDescent="0.3">
      <c r="A576" s="15" t="s">
        <v>123</v>
      </c>
      <c r="B576" s="12" t="s">
        <v>5</v>
      </c>
      <c r="C576" s="16">
        <v>3892994</v>
      </c>
      <c r="D576" s="27" t="s">
        <v>163</v>
      </c>
      <c r="E576" s="43" t="s">
        <v>704</v>
      </c>
      <c r="F576" s="50" t="s">
        <v>692</v>
      </c>
      <c r="G576" s="50" t="s">
        <v>692</v>
      </c>
      <c r="H576" s="50" t="s">
        <v>692</v>
      </c>
      <c r="I576" s="50" t="s">
        <v>692</v>
      </c>
      <c r="J576" s="64">
        <v>90000.08</v>
      </c>
      <c r="K576" s="64">
        <v>0</v>
      </c>
      <c r="L576" s="64">
        <v>90000.08</v>
      </c>
      <c r="M576" s="64">
        <v>0</v>
      </c>
      <c r="N576" s="64">
        <v>13821.486495244855</v>
      </c>
      <c r="O576" s="66">
        <v>76178.593504755147</v>
      </c>
      <c r="P576" s="13">
        <f t="shared" si="16"/>
        <v>1</v>
      </c>
      <c r="Q576" s="71"/>
      <c r="R576" s="71"/>
    </row>
    <row r="577" spans="1:18" x14ac:dyDescent="0.3">
      <c r="A577" s="14" t="s">
        <v>123</v>
      </c>
      <c r="B577" s="11" t="s">
        <v>164</v>
      </c>
      <c r="C577" s="28">
        <v>3933193</v>
      </c>
      <c r="D577" s="28" t="s">
        <v>399</v>
      </c>
      <c r="E577" s="42" t="s">
        <v>400</v>
      </c>
      <c r="F577" s="12" t="s">
        <v>692</v>
      </c>
      <c r="G577" s="12" t="s">
        <v>692</v>
      </c>
      <c r="H577" s="12" t="s">
        <v>692</v>
      </c>
      <c r="I577" s="12" t="s">
        <v>692</v>
      </c>
      <c r="J577" s="67">
        <v>43050</v>
      </c>
      <c r="K577" s="67">
        <v>6675.9</v>
      </c>
      <c r="L577" s="67">
        <v>36374.1</v>
      </c>
      <c r="M577" s="67">
        <v>0</v>
      </c>
      <c r="N577" s="67">
        <v>0</v>
      </c>
      <c r="O577" s="66">
        <v>36374.1</v>
      </c>
      <c r="P577" s="13">
        <f t="shared" si="16"/>
        <v>0.84492682926829266</v>
      </c>
      <c r="Q577" s="71"/>
      <c r="R577" s="71"/>
    </row>
    <row r="578" spans="1:18" x14ac:dyDescent="0.3">
      <c r="A578" s="14" t="s">
        <v>123</v>
      </c>
      <c r="B578" s="11" t="s">
        <v>164</v>
      </c>
      <c r="C578" s="28">
        <v>3933193</v>
      </c>
      <c r="D578" s="28" t="s">
        <v>399</v>
      </c>
      <c r="E578" s="41" t="s">
        <v>680</v>
      </c>
      <c r="F578" s="50" t="s">
        <v>692</v>
      </c>
      <c r="G578" s="50" t="s">
        <v>692</v>
      </c>
      <c r="H578" s="50" t="s">
        <v>692</v>
      </c>
      <c r="I578" s="50" t="s">
        <v>692</v>
      </c>
      <c r="J578" s="67">
        <v>18450</v>
      </c>
      <c r="K578" s="67">
        <v>2861.1</v>
      </c>
      <c r="L578" s="67">
        <v>15588.9</v>
      </c>
      <c r="M578" s="67">
        <v>0</v>
      </c>
      <c r="N578" s="67">
        <v>0</v>
      </c>
      <c r="O578" s="66">
        <v>15588.9</v>
      </c>
      <c r="P578" s="13">
        <f t="shared" si="16"/>
        <v>0.84492682926829266</v>
      </c>
      <c r="Q578" s="71"/>
      <c r="R578" s="71"/>
    </row>
    <row r="579" spans="1:18" x14ac:dyDescent="0.3">
      <c r="A579" s="14" t="s">
        <v>123</v>
      </c>
      <c r="B579" s="11" t="s">
        <v>164</v>
      </c>
      <c r="C579" s="28">
        <v>3949545</v>
      </c>
      <c r="D579" s="28" t="s">
        <v>401</v>
      </c>
      <c r="E579" s="42" t="s">
        <v>402</v>
      </c>
      <c r="F579" s="50" t="s">
        <v>692</v>
      </c>
      <c r="G579" s="50" t="s">
        <v>692</v>
      </c>
      <c r="H579" s="50" t="s">
        <v>692</v>
      </c>
      <c r="I579" s="50" t="s">
        <v>692</v>
      </c>
      <c r="J579" s="67">
        <v>93603</v>
      </c>
      <c r="K579" s="67">
        <v>0</v>
      </c>
      <c r="L579" s="67">
        <v>93603</v>
      </c>
      <c r="M579" s="67">
        <v>0</v>
      </c>
      <c r="N579" s="67">
        <v>14515.305543089955</v>
      </c>
      <c r="O579" s="66">
        <v>79087.694456910045</v>
      </c>
      <c r="P579" s="13">
        <f t="shared" ref="P579:P597" si="17">L579/J579</f>
        <v>1</v>
      </c>
      <c r="Q579" s="71"/>
      <c r="R579" s="71"/>
    </row>
    <row r="580" spans="1:18" x14ac:dyDescent="0.3">
      <c r="A580" s="14" t="s">
        <v>123</v>
      </c>
      <c r="B580" s="11" t="s">
        <v>164</v>
      </c>
      <c r="C580" s="28">
        <v>3928522</v>
      </c>
      <c r="D580" s="28" t="s">
        <v>403</v>
      </c>
      <c r="E580" s="42" t="s">
        <v>404</v>
      </c>
      <c r="F580" s="50" t="s">
        <v>692</v>
      </c>
      <c r="G580" s="50" t="s">
        <v>692</v>
      </c>
      <c r="H580" s="50" t="s">
        <v>692</v>
      </c>
      <c r="I580" s="50" t="s">
        <v>692</v>
      </c>
      <c r="J580" s="67">
        <v>98400</v>
      </c>
      <c r="K580" s="67">
        <v>0</v>
      </c>
      <c r="L580" s="67">
        <v>98400</v>
      </c>
      <c r="M580" s="67">
        <v>0</v>
      </c>
      <c r="N580" s="67">
        <v>15259.191109687206</v>
      </c>
      <c r="O580" s="66">
        <v>83140.808890312794</v>
      </c>
      <c r="P580" s="13">
        <f t="shared" si="17"/>
        <v>1</v>
      </c>
      <c r="Q580" s="71"/>
      <c r="R580" s="71"/>
    </row>
    <row r="581" spans="1:18" x14ac:dyDescent="0.3">
      <c r="A581" s="14" t="s">
        <v>123</v>
      </c>
      <c r="B581" s="11" t="s">
        <v>164</v>
      </c>
      <c r="C581" s="28">
        <v>3928522</v>
      </c>
      <c r="D581" s="28" t="s">
        <v>403</v>
      </c>
      <c r="E581" s="42" t="s">
        <v>405</v>
      </c>
      <c r="F581" s="50" t="s">
        <v>692</v>
      </c>
      <c r="G581" s="50" t="s">
        <v>692</v>
      </c>
      <c r="H581" s="50" t="s">
        <v>692</v>
      </c>
      <c r="I581" s="50" t="s">
        <v>692</v>
      </c>
      <c r="J581" s="67">
        <v>48888</v>
      </c>
      <c r="K581" s="67">
        <v>7581.21</v>
      </c>
      <c r="L581" s="67">
        <v>41306.79</v>
      </c>
      <c r="M581" s="67">
        <v>0</v>
      </c>
      <c r="N581" s="67">
        <v>0</v>
      </c>
      <c r="O581" s="66">
        <v>41306.79</v>
      </c>
      <c r="P581" s="13">
        <f t="shared" si="17"/>
        <v>0.8449269759450172</v>
      </c>
      <c r="Q581" s="71"/>
      <c r="R581" s="71"/>
    </row>
    <row r="582" spans="1:18" x14ac:dyDescent="0.3">
      <c r="A582" s="14" t="s">
        <v>123</v>
      </c>
      <c r="B582" s="11" t="s">
        <v>164</v>
      </c>
      <c r="C582" s="28">
        <v>3928522</v>
      </c>
      <c r="D582" s="28" t="s">
        <v>403</v>
      </c>
      <c r="E582" s="42" t="s">
        <v>406</v>
      </c>
      <c r="F582" s="50" t="s">
        <v>692</v>
      </c>
      <c r="G582" s="50" t="s">
        <v>692</v>
      </c>
      <c r="H582" s="50" t="s">
        <v>692</v>
      </c>
      <c r="I582" s="50" t="s">
        <v>692</v>
      </c>
      <c r="J582" s="67">
        <v>63960</v>
      </c>
      <c r="K582" s="67">
        <v>9918.4699999999993</v>
      </c>
      <c r="L582" s="67">
        <v>54041.53</v>
      </c>
      <c r="M582" s="67">
        <v>0</v>
      </c>
      <c r="N582" s="67">
        <v>0</v>
      </c>
      <c r="O582" s="66">
        <v>54041.53</v>
      </c>
      <c r="P582" s="13">
        <f t="shared" si="17"/>
        <v>0.84492698561600998</v>
      </c>
      <c r="Q582" s="71"/>
      <c r="R582" s="71"/>
    </row>
    <row r="583" spans="1:18" x14ac:dyDescent="0.3">
      <c r="A583" s="14" t="s">
        <v>123</v>
      </c>
      <c r="B583" s="11" t="s">
        <v>164</v>
      </c>
      <c r="C583" s="28">
        <v>3928522</v>
      </c>
      <c r="D583" s="28" t="s">
        <v>403</v>
      </c>
      <c r="E583" s="42" t="s">
        <v>407</v>
      </c>
      <c r="F583" s="50" t="s">
        <v>692</v>
      </c>
      <c r="G583" s="50" t="s">
        <v>692</v>
      </c>
      <c r="H583" s="50" t="s">
        <v>692</v>
      </c>
      <c r="I583" s="50" t="s">
        <v>692</v>
      </c>
      <c r="J583" s="67">
        <v>77490</v>
      </c>
      <c r="K583" s="67">
        <v>0</v>
      </c>
      <c r="L583" s="67">
        <v>77490</v>
      </c>
      <c r="M583" s="67">
        <v>0</v>
      </c>
      <c r="N583" s="67">
        <v>12016.612998878671</v>
      </c>
      <c r="O583" s="66">
        <v>65473.387001121329</v>
      </c>
      <c r="P583" s="13">
        <f t="shared" si="17"/>
        <v>1</v>
      </c>
      <c r="Q583" s="71"/>
      <c r="R583" s="71"/>
    </row>
    <row r="584" spans="1:18" x14ac:dyDescent="0.3">
      <c r="A584" s="14" t="s">
        <v>123</v>
      </c>
      <c r="B584" s="11" t="s">
        <v>164</v>
      </c>
      <c r="C584" s="28">
        <v>3964991</v>
      </c>
      <c r="D584" s="28" t="s">
        <v>408</v>
      </c>
      <c r="E584" s="42" t="s">
        <v>409</v>
      </c>
      <c r="F584" s="50" t="s">
        <v>692</v>
      </c>
      <c r="G584" s="50" t="s">
        <v>692</v>
      </c>
      <c r="H584" s="50" t="s">
        <v>692</v>
      </c>
      <c r="I584" s="50" t="s">
        <v>692</v>
      </c>
      <c r="J584" s="67">
        <v>149937</v>
      </c>
      <c r="K584" s="67">
        <v>0</v>
      </c>
      <c r="L584" s="67">
        <v>149937</v>
      </c>
      <c r="M584" s="75">
        <f>L584-O584</f>
        <v>77799.23</v>
      </c>
      <c r="N584" s="75">
        <v>0</v>
      </c>
      <c r="O584" s="75">
        <v>72137.77</v>
      </c>
      <c r="P584" s="13">
        <f t="shared" si="17"/>
        <v>1</v>
      </c>
      <c r="Q584" s="71"/>
      <c r="R584" s="71"/>
    </row>
    <row r="585" spans="1:18" x14ac:dyDescent="0.3">
      <c r="A585" s="14" t="s">
        <v>123</v>
      </c>
      <c r="B585" s="11" t="s">
        <v>164</v>
      </c>
      <c r="C585" s="28">
        <v>3971475</v>
      </c>
      <c r="D585" s="28" t="s">
        <v>410</v>
      </c>
      <c r="E585" s="42" t="s">
        <v>411</v>
      </c>
      <c r="F585" s="50" t="s">
        <v>692</v>
      </c>
      <c r="G585" s="50" t="s">
        <v>692</v>
      </c>
      <c r="H585" s="50" t="s">
        <v>692</v>
      </c>
      <c r="I585" s="50" t="s">
        <v>692</v>
      </c>
      <c r="J585" s="67">
        <v>89175</v>
      </c>
      <c r="K585" s="67">
        <v>0</v>
      </c>
      <c r="L585" s="67">
        <v>89175</v>
      </c>
      <c r="M585" s="67">
        <v>0</v>
      </c>
      <c r="N585" s="67">
        <v>89175</v>
      </c>
      <c r="O585" s="66">
        <v>0</v>
      </c>
      <c r="P585" s="13">
        <f t="shared" si="17"/>
        <v>1</v>
      </c>
      <c r="Q585" s="71"/>
      <c r="R585" s="71"/>
    </row>
    <row r="586" spans="1:18" x14ac:dyDescent="0.3">
      <c r="A586" s="14" t="s">
        <v>123</v>
      </c>
      <c r="B586" s="11" t="s">
        <v>164</v>
      </c>
      <c r="C586" s="28">
        <v>3971475</v>
      </c>
      <c r="D586" s="28" t="s">
        <v>410</v>
      </c>
      <c r="E586" s="42" t="s">
        <v>412</v>
      </c>
      <c r="F586" s="50" t="s">
        <v>692</v>
      </c>
      <c r="G586" s="50" t="s">
        <v>692</v>
      </c>
      <c r="H586" s="50" t="s">
        <v>692</v>
      </c>
      <c r="I586" s="50" t="s">
        <v>692</v>
      </c>
      <c r="J586" s="67">
        <v>48831</v>
      </c>
      <c r="K586" s="67">
        <v>0</v>
      </c>
      <c r="L586" s="67">
        <v>48831</v>
      </c>
      <c r="M586" s="67">
        <v>0</v>
      </c>
      <c r="N586" s="67">
        <v>48831</v>
      </c>
      <c r="O586" s="66">
        <v>0</v>
      </c>
      <c r="P586" s="13">
        <f t="shared" si="17"/>
        <v>1</v>
      </c>
      <c r="Q586" s="71"/>
      <c r="R586" s="71"/>
    </row>
    <row r="587" spans="1:18" x14ac:dyDescent="0.3">
      <c r="A587" s="14" t="s">
        <v>123</v>
      </c>
      <c r="B587" s="11" t="s">
        <v>164</v>
      </c>
      <c r="C587" s="28">
        <v>3971475</v>
      </c>
      <c r="D587" s="28" t="s">
        <v>410</v>
      </c>
      <c r="E587" s="42" t="s">
        <v>413</v>
      </c>
      <c r="F587" s="12" t="s">
        <v>692</v>
      </c>
      <c r="G587" s="12" t="s">
        <v>692</v>
      </c>
      <c r="H587" s="12" t="s">
        <v>692</v>
      </c>
      <c r="I587" s="12" t="s">
        <v>692</v>
      </c>
      <c r="J587" s="67">
        <v>60024</v>
      </c>
      <c r="K587" s="67">
        <v>0</v>
      </c>
      <c r="L587" s="67">
        <v>60024</v>
      </c>
      <c r="M587" s="67">
        <v>0</v>
      </c>
      <c r="N587" s="67">
        <v>60024</v>
      </c>
      <c r="O587" s="66">
        <v>0</v>
      </c>
      <c r="P587" s="13">
        <f t="shared" si="17"/>
        <v>1</v>
      </c>
      <c r="Q587" s="71"/>
      <c r="R587" s="71"/>
    </row>
    <row r="588" spans="1:18" x14ac:dyDescent="0.3">
      <c r="A588" s="11" t="s">
        <v>123</v>
      </c>
      <c r="B588" s="12" t="s">
        <v>474</v>
      </c>
      <c r="C588" s="12">
        <v>3877756</v>
      </c>
      <c r="D588" s="12" t="s">
        <v>593</v>
      </c>
      <c r="E588" s="41" t="s">
        <v>594</v>
      </c>
      <c r="F588" s="12" t="s">
        <v>692</v>
      </c>
      <c r="G588" s="12" t="s">
        <v>692</v>
      </c>
      <c r="H588" s="12" t="s">
        <v>692</v>
      </c>
      <c r="I588" s="12" t="s">
        <v>692</v>
      </c>
      <c r="J588" s="64">
        <v>162089.4</v>
      </c>
      <c r="K588" s="64">
        <v>24313.410000000003</v>
      </c>
      <c r="L588" s="64">
        <v>137775.99</v>
      </c>
      <c r="M588" s="64">
        <v>0</v>
      </c>
      <c r="N588" s="64">
        <v>0</v>
      </c>
      <c r="O588" s="66">
        <v>137775.99</v>
      </c>
      <c r="P588" s="13">
        <f t="shared" si="17"/>
        <v>0.85</v>
      </c>
      <c r="Q588" s="71"/>
      <c r="R588" s="71"/>
    </row>
    <row r="589" spans="1:18" x14ac:dyDescent="0.3">
      <c r="A589" s="11" t="s">
        <v>123</v>
      </c>
      <c r="B589" s="12" t="s">
        <v>474</v>
      </c>
      <c r="C589" s="12">
        <v>3877756</v>
      </c>
      <c r="D589" s="12" t="s">
        <v>593</v>
      </c>
      <c r="E589" s="41" t="s">
        <v>595</v>
      </c>
      <c r="F589" s="12" t="s">
        <v>692</v>
      </c>
      <c r="G589" s="12" t="s">
        <v>692</v>
      </c>
      <c r="H589" s="12" t="s">
        <v>692</v>
      </c>
      <c r="I589" s="12" t="s">
        <v>692</v>
      </c>
      <c r="J589" s="64">
        <v>52890</v>
      </c>
      <c r="K589" s="64">
        <v>7933.5</v>
      </c>
      <c r="L589" s="64">
        <v>44956.5</v>
      </c>
      <c r="M589" s="64">
        <v>0</v>
      </c>
      <c r="N589" s="64">
        <v>0</v>
      </c>
      <c r="O589" s="66">
        <v>44956.5</v>
      </c>
      <c r="P589" s="13">
        <f t="shared" si="17"/>
        <v>0.85</v>
      </c>
      <c r="Q589" s="71"/>
      <c r="R589" s="71"/>
    </row>
    <row r="590" spans="1:18" x14ac:dyDescent="0.3">
      <c r="A590" s="11" t="s">
        <v>123</v>
      </c>
      <c r="B590" s="12" t="s">
        <v>474</v>
      </c>
      <c r="C590" s="12">
        <v>3975817</v>
      </c>
      <c r="D590" s="12" t="s">
        <v>596</v>
      </c>
      <c r="E590" s="41" t="s">
        <v>597</v>
      </c>
      <c r="F590" s="12" t="s">
        <v>692</v>
      </c>
      <c r="G590" s="12" t="s">
        <v>692</v>
      </c>
      <c r="H590" s="12" t="s">
        <v>692</v>
      </c>
      <c r="I590" s="12" t="s">
        <v>692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6">
        <v>0</v>
      </c>
      <c r="P590" s="13" t="e">
        <f t="shared" si="17"/>
        <v>#DIV/0!</v>
      </c>
      <c r="Q590" s="71"/>
      <c r="R590" s="71"/>
    </row>
    <row r="591" spans="1:18" x14ac:dyDescent="0.3">
      <c r="A591" s="11" t="s">
        <v>123</v>
      </c>
      <c r="B591" s="12" t="s">
        <v>474</v>
      </c>
      <c r="C591" s="12">
        <v>3975817</v>
      </c>
      <c r="D591" s="12" t="s">
        <v>596</v>
      </c>
      <c r="E591" s="41" t="s">
        <v>594</v>
      </c>
      <c r="F591" s="12" t="s">
        <v>692</v>
      </c>
      <c r="G591" s="12" t="s">
        <v>692</v>
      </c>
      <c r="H591" s="12" t="s">
        <v>692</v>
      </c>
      <c r="I591" s="12" t="s">
        <v>692</v>
      </c>
      <c r="J591" s="64">
        <v>36531</v>
      </c>
      <c r="K591" s="64">
        <v>5479.65</v>
      </c>
      <c r="L591" s="64">
        <v>31051.35</v>
      </c>
      <c r="M591" s="64">
        <v>31051.35</v>
      </c>
      <c r="N591" s="64">
        <v>0</v>
      </c>
      <c r="O591" s="66">
        <v>0</v>
      </c>
      <c r="P591" s="13">
        <f t="shared" si="17"/>
        <v>0.85</v>
      </c>
      <c r="Q591" s="71"/>
      <c r="R591" s="71"/>
    </row>
    <row r="592" spans="1:18" x14ac:dyDescent="0.3">
      <c r="A592" s="11" t="s">
        <v>123</v>
      </c>
      <c r="B592" s="12" t="s">
        <v>474</v>
      </c>
      <c r="C592" s="12">
        <v>3975817</v>
      </c>
      <c r="D592" s="12" t="s">
        <v>596</v>
      </c>
      <c r="E592" s="41" t="s">
        <v>595</v>
      </c>
      <c r="F592" s="12" t="s">
        <v>692</v>
      </c>
      <c r="G592" s="12" t="s">
        <v>692</v>
      </c>
      <c r="H592" s="12" t="s">
        <v>692</v>
      </c>
      <c r="I592" s="12" t="s">
        <v>692</v>
      </c>
      <c r="J592" s="64">
        <v>171191.4</v>
      </c>
      <c r="K592" s="64">
        <v>25678.71</v>
      </c>
      <c r="L592" s="64">
        <v>145512.69</v>
      </c>
      <c r="M592" s="64">
        <v>145512.69</v>
      </c>
      <c r="N592" s="64">
        <v>0</v>
      </c>
      <c r="O592" s="66">
        <v>0</v>
      </c>
      <c r="P592" s="13">
        <f t="shared" si="17"/>
        <v>0.85000000000000009</v>
      </c>
      <c r="Q592" s="71"/>
      <c r="R592" s="71"/>
    </row>
    <row r="593" spans="1:18" ht="29.55" x14ac:dyDescent="0.3">
      <c r="A593" s="11" t="s">
        <v>123</v>
      </c>
      <c r="B593" s="12" t="s">
        <v>474</v>
      </c>
      <c r="C593" s="12">
        <v>3982825</v>
      </c>
      <c r="D593" s="12" t="s">
        <v>598</v>
      </c>
      <c r="E593" s="41" t="s">
        <v>599</v>
      </c>
      <c r="F593" s="12" t="s">
        <v>692</v>
      </c>
      <c r="G593" s="12" t="s">
        <v>692</v>
      </c>
      <c r="H593" s="12" t="s">
        <v>692</v>
      </c>
      <c r="I593" s="12" t="s">
        <v>692</v>
      </c>
      <c r="J593" s="64">
        <v>105780</v>
      </c>
      <c r="K593" s="64">
        <v>15867</v>
      </c>
      <c r="L593" s="64">
        <v>89913</v>
      </c>
      <c r="M593" s="64">
        <v>17949.100000000006</v>
      </c>
      <c r="N593" s="64">
        <v>0</v>
      </c>
      <c r="O593" s="66">
        <v>71963.899999999994</v>
      </c>
      <c r="P593" s="13">
        <f t="shared" si="17"/>
        <v>0.85</v>
      </c>
      <c r="Q593" s="71"/>
      <c r="R593" s="71"/>
    </row>
    <row r="594" spans="1:18" ht="29.55" x14ac:dyDescent="0.3">
      <c r="A594" s="11" t="s">
        <v>123</v>
      </c>
      <c r="B594" s="12" t="s">
        <v>474</v>
      </c>
      <c r="C594" s="12">
        <v>3983390</v>
      </c>
      <c r="D594" s="12" t="s">
        <v>600</v>
      </c>
      <c r="E594" s="41" t="s">
        <v>599</v>
      </c>
      <c r="F594" s="12" t="s">
        <v>692</v>
      </c>
      <c r="G594" s="12" t="s">
        <v>692</v>
      </c>
      <c r="H594" s="12" t="s">
        <v>692</v>
      </c>
      <c r="I594" s="12" t="s">
        <v>692</v>
      </c>
      <c r="J594" s="64">
        <v>143295</v>
      </c>
      <c r="K594" s="64">
        <v>21494.25</v>
      </c>
      <c r="L594" s="64">
        <v>121800.75</v>
      </c>
      <c r="M594" s="64">
        <v>121800.75</v>
      </c>
      <c r="N594" s="64">
        <v>0</v>
      </c>
      <c r="O594" s="66">
        <v>0</v>
      </c>
      <c r="P594" s="13">
        <f t="shared" si="17"/>
        <v>0.85</v>
      </c>
      <c r="Q594" s="71"/>
      <c r="R594" s="71"/>
    </row>
    <row r="595" spans="1:18" customFormat="1" x14ac:dyDescent="0.3">
      <c r="A595" s="11" t="s">
        <v>662</v>
      </c>
      <c r="B595" s="12" t="s">
        <v>474</v>
      </c>
      <c r="C595" s="12" t="s">
        <v>663</v>
      </c>
      <c r="D595" s="12" t="s">
        <v>661</v>
      </c>
      <c r="E595" s="41" t="s">
        <v>664</v>
      </c>
      <c r="F595" s="12" t="s">
        <v>692</v>
      </c>
      <c r="G595" s="12" t="s">
        <v>692</v>
      </c>
      <c r="H595" s="12" t="s">
        <v>692</v>
      </c>
      <c r="I595" s="12" t="s">
        <v>692</v>
      </c>
      <c r="J595" s="73">
        <v>54068.47</v>
      </c>
      <c r="K595" s="73">
        <v>8110.27</v>
      </c>
      <c r="L595" s="73">
        <v>45958.2</v>
      </c>
      <c r="M595" s="73">
        <v>45958.2</v>
      </c>
      <c r="N595" s="73">
        <v>0</v>
      </c>
      <c r="O595" s="66">
        <v>0</v>
      </c>
      <c r="P595" s="13">
        <f t="shared" si="17"/>
        <v>0.85000000924753361</v>
      </c>
      <c r="Q595" s="73"/>
      <c r="R595" s="73"/>
    </row>
    <row r="596" spans="1:18" customFormat="1" x14ac:dyDescent="0.3">
      <c r="A596" s="11" t="s">
        <v>662</v>
      </c>
      <c r="B596" s="12" t="s">
        <v>474</v>
      </c>
      <c r="C596" s="12" t="s">
        <v>663</v>
      </c>
      <c r="D596" s="12" t="s">
        <v>661</v>
      </c>
      <c r="E596" s="41" t="s">
        <v>665</v>
      </c>
      <c r="F596" s="12" t="s">
        <v>692</v>
      </c>
      <c r="G596" s="12" t="s">
        <v>692</v>
      </c>
      <c r="H596" s="12" t="s">
        <v>692</v>
      </c>
      <c r="I596" s="12" t="s">
        <v>692</v>
      </c>
      <c r="J596" s="73">
        <v>9157.35</v>
      </c>
      <c r="K596" s="73">
        <v>1373.6</v>
      </c>
      <c r="L596" s="73">
        <v>7783.75</v>
      </c>
      <c r="M596" s="73">
        <v>7783.75</v>
      </c>
      <c r="N596" s="73">
        <v>0</v>
      </c>
      <c r="O596" s="66">
        <v>0</v>
      </c>
      <c r="P596" s="13">
        <f t="shared" si="17"/>
        <v>0.85000027300474479</v>
      </c>
      <c r="Q596" s="73"/>
      <c r="R596" s="73"/>
    </row>
    <row r="597" spans="1:18" customFormat="1" x14ac:dyDescent="0.3">
      <c r="A597" s="11" t="s">
        <v>662</v>
      </c>
      <c r="B597" s="12" t="s">
        <v>5</v>
      </c>
      <c r="C597" s="12">
        <v>4583636</v>
      </c>
      <c r="D597" s="29" t="s">
        <v>666</v>
      </c>
      <c r="E597" s="41" t="s">
        <v>704</v>
      </c>
      <c r="F597" s="12" t="s">
        <v>692</v>
      </c>
      <c r="G597" s="12" t="s">
        <v>692</v>
      </c>
      <c r="H597" s="12" t="s">
        <v>692</v>
      </c>
      <c r="I597" s="12" t="s">
        <v>692</v>
      </c>
      <c r="J597" s="73">
        <v>119310</v>
      </c>
      <c r="K597" s="73">
        <v>0</v>
      </c>
      <c r="L597" s="73">
        <v>119310</v>
      </c>
      <c r="M597" s="73">
        <v>28819.95</v>
      </c>
      <c r="N597" s="73">
        <v>90490.05</v>
      </c>
      <c r="O597" s="66">
        <v>0</v>
      </c>
      <c r="P597" s="13">
        <f t="shared" si="17"/>
        <v>1</v>
      </c>
      <c r="Q597" s="73"/>
      <c r="R597" s="73"/>
    </row>
    <row r="598" spans="1:18" customFormat="1" x14ac:dyDescent="0.3">
      <c r="A598" s="77" t="s">
        <v>662</v>
      </c>
      <c r="B598" s="77" t="s">
        <v>5</v>
      </c>
      <c r="C598" s="78">
        <v>4598703</v>
      </c>
      <c r="D598" s="78" t="s">
        <v>705</v>
      </c>
      <c r="E598" s="79" t="s">
        <v>126</v>
      </c>
      <c r="F598" s="12" t="s">
        <v>692</v>
      </c>
      <c r="G598" s="12" t="s">
        <v>692</v>
      </c>
      <c r="H598" s="12" t="s">
        <v>692</v>
      </c>
      <c r="I598" s="12" t="s">
        <v>692</v>
      </c>
      <c r="J598" s="64">
        <v>78120</v>
      </c>
      <c r="K598" s="64">
        <v>0</v>
      </c>
      <c r="L598" s="64">
        <f>J598</f>
        <v>78120</v>
      </c>
      <c r="M598" s="64">
        <v>66122.960000000006</v>
      </c>
      <c r="N598" s="64">
        <v>0</v>
      </c>
      <c r="O598" s="66">
        <v>11997.04</v>
      </c>
      <c r="P598" s="13">
        <f>L598/J598</f>
        <v>1</v>
      </c>
      <c r="Q598" s="73"/>
      <c r="R598" s="73"/>
    </row>
    <row r="599" spans="1:18" customFormat="1" x14ac:dyDescent="0.3">
      <c r="A599" s="77" t="s">
        <v>662</v>
      </c>
      <c r="B599" s="77" t="s">
        <v>5</v>
      </c>
      <c r="C599" s="78">
        <v>4598703</v>
      </c>
      <c r="D599" s="78" t="s">
        <v>705</v>
      </c>
      <c r="E599" s="79" t="s">
        <v>127</v>
      </c>
      <c r="F599" s="12" t="s">
        <v>692</v>
      </c>
      <c r="G599" s="12" t="s">
        <v>692</v>
      </c>
      <c r="H599" s="12" t="s">
        <v>692</v>
      </c>
      <c r="I599" s="12" t="s">
        <v>692</v>
      </c>
      <c r="J599" s="64">
        <v>26880</v>
      </c>
      <c r="K599" s="64">
        <v>0</v>
      </c>
      <c r="L599" s="64">
        <f>J599</f>
        <v>26880</v>
      </c>
      <c r="M599" s="64">
        <v>22751.99</v>
      </c>
      <c r="N599" s="64">
        <v>0</v>
      </c>
      <c r="O599" s="66">
        <v>4128.01</v>
      </c>
      <c r="P599" s="13">
        <f>L599/J599</f>
        <v>1</v>
      </c>
      <c r="Q599" s="73"/>
      <c r="R599" s="73"/>
    </row>
    <row r="600" spans="1:18" customFormat="1" x14ac:dyDescent="0.3">
      <c r="A600" s="77" t="s">
        <v>662</v>
      </c>
      <c r="B600" s="77" t="s">
        <v>164</v>
      </c>
      <c r="C600" s="78">
        <v>4599424</v>
      </c>
      <c r="D600" s="78" t="s">
        <v>706</v>
      </c>
      <c r="E600" s="79" t="s">
        <v>707</v>
      </c>
      <c r="F600" s="12" t="s">
        <v>692</v>
      </c>
      <c r="G600" s="12" t="s">
        <v>692</v>
      </c>
      <c r="H600" s="12" t="s">
        <v>692</v>
      </c>
      <c r="I600" s="12" t="s">
        <v>692</v>
      </c>
      <c r="J600" s="64">
        <v>0</v>
      </c>
      <c r="K600" s="64">
        <v>0</v>
      </c>
      <c r="L600" s="64">
        <v>0</v>
      </c>
      <c r="M600" s="64">
        <v>0</v>
      </c>
      <c r="N600" s="64">
        <v>0</v>
      </c>
      <c r="O600" s="66">
        <v>0</v>
      </c>
      <c r="P600" s="13">
        <v>0</v>
      </c>
      <c r="Q600" s="73"/>
      <c r="R600" s="73"/>
    </row>
    <row r="601" spans="1:18" customFormat="1" x14ac:dyDescent="0.3">
      <c r="A601" s="77" t="s">
        <v>662</v>
      </c>
      <c r="B601" s="77" t="s">
        <v>164</v>
      </c>
      <c r="C601" s="78">
        <v>4599424</v>
      </c>
      <c r="D601" s="78" t="s">
        <v>706</v>
      </c>
      <c r="E601" s="79" t="s">
        <v>357</v>
      </c>
      <c r="F601" s="12" t="s">
        <v>692</v>
      </c>
      <c r="G601" s="12" t="s">
        <v>692</v>
      </c>
      <c r="H601" s="12" t="s">
        <v>692</v>
      </c>
      <c r="I601" s="12" t="s">
        <v>692</v>
      </c>
      <c r="J601" s="64">
        <v>12915</v>
      </c>
      <c r="K601" s="64">
        <v>2002.77</v>
      </c>
      <c r="L601" s="64">
        <v>10912.23</v>
      </c>
      <c r="M601" s="64">
        <v>10912.23</v>
      </c>
      <c r="N601" s="64">
        <v>0</v>
      </c>
      <c r="O601" s="66">
        <v>0</v>
      </c>
      <c r="P601" s="13">
        <f t="shared" ref="P601:P611" si="18">L601/J601</f>
        <v>0.84492682926829266</v>
      </c>
      <c r="Q601" s="73"/>
      <c r="R601" s="73"/>
    </row>
    <row r="602" spans="1:18" customFormat="1" x14ac:dyDescent="0.3">
      <c r="A602" s="77" t="s">
        <v>662</v>
      </c>
      <c r="B602" s="77" t="s">
        <v>164</v>
      </c>
      <c r="C602" s="78">
        <v>4599424</v>
      </c>
      <c r="D602" s="78" t="s">
        <v>706</v>
      </c>
      <c r="E602" s="79" t="s">
        <v>127</v>
      </c>
      <c r="F602" s="12" t="s">
        <v>692</v>
      </c>
      <c r="G602" s="12" t="s">
        <v>692</v>
      </c>
      <c r="H602" s="12" t="s">
        <v>692</v>
      </c>
      <c r="I602" s="12" t="s">
        <v>692</v>
      </c>
      <c r="J602" s="64">
        <v>15456</v>
      </c>
      <c r="K602" s="64">
        <v>0</v>
      </c>
      <c r="L602" s="64">
        <f>J602</f>
        <v>15456</v>
      </c>
      <c r="M602" s="64">
        <v>13059.19</v>
      </c>
      <c r="N602" s="64">
        <v>0</v>
      </c>
      <c r="O602" s="66">
        <v>2396.81</v>
      </c>
      <c r="P602" s="13">
        <f t="shared" si="18"/>
        <v>1</v>
      </c>
      <c r="Q602" s="73"/>
      <c r="R602" s="73"/>
    </row>
    <row r="603" spans="1:18" customFormat="1" x14ac:dyDescent="0.3">
      <c r="A603" s="77" t="s">
        <v>662</v>
      </c>
      <c r="B603" s="77" t="s">
        <v>164</v>
      </c>
      <c r="C603" s="78">
        <v>4599424</v>
      </c>
      <c r="D603" s="78" t="s">
        <v>706</v>
      </c>
      <c r="E603" s="79" t="s">
        <v>708</v>
      </c>
      <c r="F603" s="12" t="s">
        <v>692</v>
      </c>
      <c r="G603" s="12" t="s">
        <v>692</v>
      </c>
      <c r="H603" s="12" t="s">
        <v>692</v>
      </c>
      <c r="I603" s="12" t="s">
        <v>692</v>
      </c>
      <c r="J603" s="64">
        <v>30750</v>
      </c>
      <c r="K603" s="64">
        <v>0</v>
      </c>
      <c r="L603" s="64">
        <f>J603</f>
        <v>30750</v>
      </c>
      <c r="M603" s="64">
        <v>25981.5</v>
      </c>
      <c r="N603" s="64">
        <v>0</v>
      </c>
      <c r="O603" s="66">
        <v>4768.5</v>
      </c>
      <c r="P603" s="13">
        <f t="shared" si="18"/>
        <v>1</v>
      </c>
      <c r="Q603" s="73"/>
      <c r="R603" s="73"/>
    </row>
    <row r="604" spans="1:18" customFormat="1" x14ac:dyDescent="0.3">
      <c r="A604" s="77" t="s">
        <v>662</v>
      </c>
      <c r="B604" s="77" t="s">
        <v>164</v>
      </c>
      <c r="C604" s="78">
        <v>4599424</v>
      </c>
      <c r="D604" s="78" t="s">
        <v>706</v>
      </c>
      <c r="E604" s="79" t="s">
        <v>126</v>
      </c>
      <c r="F604" s="12" t="s">
        <v>692</v>
      </c>
      <c r="G604" s="12" t="s">
        <v>692</v>
      </c>
      <c r="H604" s="12" t="s">
        <v>692</v>
      </c>
      <c r="I604" s="12" t="s">
        <v>692</v>
      </c>
      <c r="J604" s="64">
        <v>11200</v>
      </c>
      <c r="K604" s="64">
        <v>0</v>
      </c>
      <c r="L604" s="64">
        <f>J604</f>
        <v>11200</v>
      </c>
      <c r="M604" s="64">
        <v>9463.18</v>
      </c>
      <c r="N604" s="64">
        <v>0</v>
      </c>
      <c r="O604" s="66">
        <v>1736.82</v>
      </c>
      <c r="P604" s="13">
        <f t="shared" si="18"/>
        <v>1</v>
      </c>
      <c r="Q604" s="73"/>
      <c r="R604" s="73"/>
    </row>
    <row r="605" spans="1:18" customFormat="1" x14ac:dyDescent="0.3">
      <c r="A605" s="77" t="s">
        <v>662</v>
      </c>
      <c r="B605" s="77" t="s">
        <v>164</v>
      </c>
      <c r="C605" s="78">
        <v>4599424</v>
      </c>
      <c r="D605" s="78" t="s">
        <v>706</v>
      </c>
      <c r="E605" s="79" t="s">
        <v>168</v>
      </c>
      <c r="F605" s="12" t="s">
        <v>692</v>
      </c>
      <c r="G605" s="12" t="s">
        <v>692</v>
      </c>
      <c r="H605" s="12" t="s">
        <v>692</v>
      </c>
      <c r="I605" s="12" t="s">
        <v>692</v>
      </c>
      <c r="J605" s="64">
        <v>11200</v>
      </c>
      <c r="K605" s="64">
        <v>0</v>
      </c>
      <c r="L605" s="64">
        <f>J605</f>
        <v>11200</v>
      </c>
      <c r="M605" s="64">
        <v>9463.18</v>
      </c>
      <c r="N605" s="64">
        <v>0</v>
      </c>
      <c r="O605" s="66">
        <v>1736.82</v>
      </c>
      <c r="P605" s="13">
        <f t="shared" si="18"/>
        <v>1</v>
      </c>
      <c r="Q605" s="73"/>
      <c r="R605" s="73"/>
    </row>
    <row r="606" spans="1:18" customFormat="1" x14ac:dyDescent="0.3">
      <c r="A606" s="77" t="s">
        <v>662</v>
      </c>
      <c r="B606" s="77" t="s">
        <v>164</v>
      </c>
      <c r="C606" s="78">
        <v>4580009</v>
      </c>
      <c r="D606" s="78" t="s">
        <v>709</v>
      </c>
      <c r="E606" s="79" t="s">
        <v>710</v>
      </c>
      <c r="F606" s="12" t="s">
        <v>692</v>
      </c>
      <c r="G606" s="12" t="s">
        <v>692</v>
      </c>
      <c r="H606" s="12" t="s">
        <v>692</v>
      </c>
      <c r="I606" s="12" t="s">
        <v>692</v>
      </c>
      <c r="J606" s="64">
        <v>29766</v>
      </c>
      <c r="K606" s="64">
        <v>0</v>
      </c>
      <c r="L606" s="64">
        <f>J606</f>
        <v>29766</v>
      </c>
      <c r="M606" s="64">
        <v>25150.09</v>
      </c>
      <c r="N606" s="64">
        <v>0</v>
      </c>
      <c r="O606" s="66">
        <v>4615.91</v>
      </c>
      <c r="P606" s="13">
        <f t="shared" si="18"/>
        <v>1</v>
      </c>
      <c r="Q606" s="73"/>
      <c r="R606" s="73"/>
    </row>
    <row r="607" spans="1:18" customFormat="1" ht="29.55" x14ac:dyDescent="0.3">
      <c r="A607" s="77" t="s">
        <v>662</v>
      </c>
      <c r="B607" s="77" t="s">
        <v>164</v>
      </c>
      <c r="C607" s="78">
        <v>4580009</v>
      </c>
      <c r="D607" s="78" t="s">
        <v>709</v>
      </c>
      <c r="E607" s="79" t="s">
        <v>711</v>
      </c>
      <c r="F607" s="12" t="s">
        <v>692</v>
      </c>
      <c r="G607" s="12" t="s">
        <v>692</v>
      </c>
      <c r="H607" s="12" t="s">
        <v>692</v>
      </c>
      <c r="I607" s="12" t="s">
        <v>692</v>
      </c>
      <c r="J607" s="64">
        <v>9840</v>
      </c>
      <c r="K607" s="64">
        <v>1525.92</v>
      </c>
      <c r="L607" s="64">
        <v>8314.08</v>
      </c>
      <c r="M607" s="64">
        <v>8314.08</v>
      </c>
      <c r="N607" s="64">
        <v>0</v>
      </c>
      <c r="O607" s="66">
        <v>0</v>
      </c>
      <c r="P607" s="13">
        <f t="shared" si="18"/>
        <v>0.84492682926829266</v>
      </c>
      <c r="Q607" s="73"/>
      <c r="R607" s="73"/>
    </row>
    <row r="608" spans="1:18" customFormat="1" ht="29.55" x14ac:dyDescent="0.3">
      <c r="A608" s="77" t="s">
        <v>662</v>
      </c>
      <c r="B608" s="77" t="s">
        <v>164</v>
      </c>
      <c r="C608" s="78">
        <v>4580009</v>
      </c>
      <c r="D608" s="78" t="s">
        <v>709</v>
      </c>
      <c r="E608" s="79" t="s">
        <v>712</v>
      </c>
      <c r="F608" s="12" t="s">
        <v>692</v>
      </c>
      <c r="G608" s="12" t="s">
        <v>692</v>
      </c>
      <c r="H608" s="12" t="s">
        <v>692</v>
      </c>
      <c r="I608" s="12" t="s">
        <v>692</v>
      </c>
      <c r="J608" s="64">
        <v>39052.5</v>
      </c>
      <c r="K608" s="64">
        <v>0</v>
      </c>
      <c r="L608" s="64">
        <v>39052.5</v>
      </c>
      <c r="M608" s="64">
        <v>32996.51</v>
      </c>
      <c r="N608" s="64">
        <v>0</v>
      </c>
      <c r="O608" s="66">
        <v>6055.99</v>
      </c>
      <c r="P608" s="13">
        <f t="shared" si="18"/>
        <v>1</v>
      </c>
      <c r="Q608" s="73"/>
      <c r="R608" s="73"/>
    </row>
    <row r="609" spans="1:20" customFormat="1" x14ac:dyDescent="0.3">
      <c r="A609" s="77" t="s">
        <v>662</v>
      </c>
      <c r="B609" s="77" t="s">
        <v>164</v>
      </c>
      <c r="C609" s="78">
        <v>4580009</v>
      </c>
      <c r="D609" s="78" t="s">
        <v>709</v>
      </c>
      <c r="E609" s="79" t="s">
        <v>713</v>
      </c>
      <c r="F609" s="12" t="s">
        <v>692</v>
      </c>
      <c r="G609" s="12" t="s">
        <v>692</v>
      </c>
      <c r="H609" s="12" t="s">
        <v>692</v>
      </c>
      <c r="I609" s="12" t="s">
        <v>692</v>
      </c>
      <c r="J609" s="64">
        <v>18450</v>
      </c>
      <c r="K609" s="64">
        <v>0</v>
      </c>
      <c r="L609" s="64">
        <v>18450</v>
      </c>
      <c r="M609" s="64">
        <v>15588.9</v>
      </c>
      <c r="N609" s="64">
        <v>0</v>
      </c>
      <c r="O609" s="66">
        <v>2861.1</v>
      </c>
      <c r="P609" s="13">
        <f t="shared" si="18"/>
        <v>1</v>
      </c>
      <c r="Q609" s="73"/>
      <c r="R609" s="73"/>
    </row>
    <row r="610" spans="1:20" customFormat="1" x14ac:dyDescent="0.3">
      <c r="A610" s="77" t="s">
        <v>662</v>
      </c>
      <c r="B610" s="77" t="s">
        <v>164</v>
      </c>
      <c r="C610" s="78">
        <v>4580009</v>
      </c>
      <c r="D610" s="78" t="s">
        <v>709</v>
      </c>
      <c r="E610" s="79" t="s">
        <v>714</v>
      </c>
      <c r="F610" s="12" t="s">
        <v>692</v>
      </c>
      <c r="G610" s="12" t="s">
        <v>692</v>
      </c>
      <c r="H610" s="12" t="s">
        <v>692</v>
      </c>
      <c r="I610" s="12" t="s">
        <v>692</v>
      </c>
      <c r="J610" s="64">
        <v>43050</v>
      </c>
      <c r="K610" s="64">
        <v>0</v>
      </c>
      <c r="L610" s="64">
        <v>43050</v>
      </c>
      <c r="M610" s="64">
        <v>36374.1</v>
      </c>
      <c r="N610" s="64">
        <v>0</v>
      </c>
      <c r="O610" s="66">
        <v>6675.9</v>
      </c>
      <c r="P610" s="13">
        <f t="shared" si="18"/>
        <v>1</v>
      </c>
      <c r="Q610" s="73"/>
      <c r="R610" s="73"/>
    </row>
    <row r="611" spans="1:20" customFormat="1" x14ac:dyDescent="0.3">
      <c r="A611" s="77" t="s">
        <v>662</v>
      </c>
      <c r="B611" s="77" t="s">
        <v>164</v>
      </c>
      <c r="C611" s="78">
        <v>4580009</v>
      </c>
      <c r="D611" s="78" t="s">
        <v>709</v>
      </c>
      <c r="E611" s="79" t="s">
        <v>715</v>
      </c>
      <c r="F611" s="12" t="s">
        <v>692</v>
      </c>
      <c r="G611" s="12" t="s">
        <v>692</v>
      </c>
      <c r="H611" s="12" t="s">
        <v>692</v>
      </c>
      <c r="I611" s="12" t="s">
        <v>692</v>
      </c>
      <c r="J611" s="80">
        <v>11070</v>
      </c>
      <c r="K611" s="80">
        <v>0</v>
      </c>
      <c r="L611" s="80">
        <v>11070</v>
      </c>
      <c r="M611" s="80">
        <v>9353.34</v>
      </c>
      <c r="N611" s="64">
        <v>0</v>
      </c>
      <c r="O611" s="66">
        <v>1716.66</v>
      </c>
      <c r="P611" s="13">
        <f t="shared" si="18"/>
        <v>1</v>
      </c>
      <c r="Q611" s="73"/>
      <c r="R611" s="73"/>
    </row>
    <row r="612" spans="1:20" x14ac:dyDescent="0.3">
      <c r="J612" s="68">
        <f>SUM(J2:J611)</f>
        <v>114458444.19989525</v>
      </c>
      <c r="K612" s="68">
        <f t="shared" ref="K612:R612" si="19">SUM(K2:K611)</f>
        <v>4524155.7033162229</v>
      </c>
      <c r="L612" s="68">
        <f t="shared" si="19"/>
        <v>109934288.4965791</v>
      </c>
      <c r="M612" s="68">
        <f t="shared" si="19"/>
        <v>93916594.152314767</v>
      </c>
      <c r="N612" s="68">
        <f t="shared" si="19"/>
        <v>14017695.0546655</v>
      </c>
      <c r="O612" s="68">
        <f t="shared" si="19"/>
        <v>1999999.2795988247</v>
      </c>
      <c r="P612" s="68" t="e">
        <f t="shared" si="19"/>
        <v>#DIV/0!</v>
      </c>
      <c r="Q612" s="68">
        <f t="shared" si="19"/>
        <v>65482.990362081517</v>
      </c>
      <c r="R612" s="68">
        <f t="shared" si="19"/>
        <v>63517.170801495813</v>
      </c>
      <c r="S612" s="81">
        <f>SUBTOTAL(9,S2:S441)</f>
        <v>55652.042526007113</v>
      </c>
      <c r="T612" s="81">
        <f>SUBTOTAL(9,T2:T441)</f>
        <v>7865.1282754886988</v>
      </c>
    </row>
    <row r="614" spans="1:20" x14ac:dyDescent="0.3">
      <c r="J614" s="69">
        <f>J612+Q612</f>
        <v>114523927.19025733</v>
      </c>
      <c r="L614" s="69">
        <f>L612+R612</f>
        <v>109997805.66738059</v>
      </c>
      <c r="M614" s="69">
        <f>M612+S612</f>
        <v>93972246.194840774</v>
      </c>
      <c r="N614" s="69">
        <f>N612+T612</f>
        <v>14025560.18294099</v>
      </c>
    </row>
    <row r="618" spans="1:20" x14ac:dyDescent="0.3">
      <c r="J618" s="69">
        <v>114523927.19025733</v>
      </c>
    </row>
    <row r="620" spans="1:20" x14ac:dyDescent="0.3">
      <c r="J620" s="69">
        <f>J614-J618</f>
        <v>0</v>
      </c>
    </row>
  </sheetData>
  <autoFilter ref="A2:V2" xr:uid="{5CE9308E-9D05-4B55-8F9F-14090B905388}"/>
  <mergeCells count="1">
    <mergeCell ref="A1:R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9" fitToHeight="100" orientation="landscape" r:id="rId1"/>
  <headerFooter>
    <oddFooter>&amp;RPagina &amp;P di &amp;N</oddFooter>
  </headerFooter>
  <rowBreaks count="7" manualBreakCount="7">
    <brk id="71" max="17" man="1"/>
    <brk id="147" max="17" man="1"/>
    <brk id="224" max="17" man="1"/>
    <brk id="300" max="17" man="1"/>
    <brk id="393" max="17" man="1"/>
    <brk id="483" max="17" man="1"/>
    <brk id="57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E420-5850-44CE-827A-515BDF9773EF}">
  <dimension ref="A1:R885"/>
  <sheetViews>
    <sheetView tabSelected="1" zoomScale="70" zoomScaleNormal="70" workbookViewId="0">
      <pane ySplit="2" topLeftCell="A3" activePane="bottomLeft" state="frozen"/>
      <selection pane="bottomLeft" sqref="A1:R1"/>
    </sheetView>
  </sheetViews>
  <sheetFormatPr defaultRowHeight="14.8" x14ac:dyDescent="0.3"/>
  <cols>
    <col min="1" max="1" width="16.44140625" style="3" bestFit="1" customWidth="1"/>
    <col min="2" max="2" width="15.6640625" style="3" bestFit="1" customWidth="1"/>
    <col min="3" max="3" width="18.77734375" style="3" bestFit="1" customWidth="1"/>
    <col min="4" max="4" width="31" style="3" bestFit="1" customWidth="1"/>
    <col min="5" max="5" width="59.5546875" style="30" customWidth="1"/>
    <col min="6" max="6" width="16.33203125" style="31" bestFit="1" customWidth="1"/>
    <col min="7" max="7" width="14.33203125" style="31" bestFit="1" customWidth="1"/>
    <col min="8" max="8" width="16.109375" style="31" customWidth="1"/>
    <col min="9" max="9" width="11.33203125" style="31" customWidth="1"/>
    <col min="10" max="10" width="22.6640625" style="69" customWidth="1"/>
    <col min="11" max="11" width="25.6640625" style="69" customWidth="1"/>
    <col min="12" max="12" width="24.5546875" style="69" customWidth="1"/>
    <col min="13" max="13" width="22.21875" style="69" customWidth="1"/>
    <col min="14" max="14" width="22" style="69" bestFit="1" customWidth="1"/>
    <col min="15" max="15" width="20.109375" style="69" bestFit="1" customWidth="1"/>
    <col min="16" max="16" width="25.44140625" style="32" bestFit="1" customWidth="1"/>
    <col min="17" max="17" width="33.21875" style="72" bestFit="1" customWidth="1"/>
    <col min="18" max="18" width="40.109375" style="72" bestFit="1" customWidth="1"/>
    <col min="19" max="19" width="19.109375" style="3" bestFit="1" customWidth="1"/>
    <col min="20" max="16384" width="8.88671875" style="3"/>
  </cols>
  <sheetData>
    <row r="1" spans="1:18" ht="56.95" customHeight="1" x14ac:dyDescent="0.3">
      <c r="A1" s="137" t="s">
        <v>784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44.35" x14ac:dyDescent="0.3">
      <c r="A2" s="1" t="s">
        <v>683</v>
      </c>
      <c r="B2" s="1" t="s">
        <v>0</v>
      </c>
      <c r="C2" s="2" t="s">
        <v>684</v>
      </c>
      <c r="D2" s="1" t="s">
        <v>1</v>
      </c>
      <c r="E2" s="1" t="s">
        <v>685</v>
      </c>
      <c r="F2" s="1" t="s">
        <v>686</v>
      </c>
      <c r="G2" s="1" t="s">
        <v>687</v>
      </c>
      <c r="H2" s="1" t="s">
        <v>688</v>
      </c>
      <c r="I2" s="1" t="s">
        <v>689</v>
      </c>
      <c r="J2" s="51" t="s">
        <v>4</v>
      </c>
      <c r="K2" s="51" t="s">
        <v>3</v>
      </c>
      <c r="L2" s="51" t="s">
        <v>2</v>
      </c>
      <c r="M2" s="51" t="s">
        <v>690</v>
      </c>
      <c r="N2" s="51" t="s">
        <v>702</v>
      </c>
      <c r="O2" s="51" t="s">
        <v>701</v>
      </c>
      <c r="P2" s="33" t="s">
        <v>691</v>
      </c>
      <c r="Q2" s="70" t="s">
        <v>682</v>
      </c>
      <c r="R2" s="70" t="s">
        <v>681</v>
      </c>
    </row>
    <row r="3" spans="1:18" customFormat="1" ht="14.15" customHeight="1" x14ac:dyDescent="0.3">
      <c r="A3" s="18" t="s">
        <v>7</v>
      </c>
      <c r="B3" s="18" t="s">
        <v>5</v>
      </c>
      <c r="C3" s="18">
        <v>494013</v>
      </c>
      <c r="D3" s="18" t="s">
        <v>6</v>
      </c>
      <c r="E3" s="131" t="s">
        <v>8</v>
      </c>
      <c r="F3" s="18" t="s">
        <v>692</v>
      </c>
      <c r="G3" s="18" t="s">
        <v>692</v>
      </c>
      <c r="H3" s="18" t="s">
        <v>692</v>
      </c>
      <c r="I3" s="18" t="s">
        <v>692</v>
      </c>
      <c r="J3" s="82">
        <v>419977.29</v>
      </c>
      <c r="K3" s="82">
        <v>62996.593500000003</v>
      </c>
      <c r="L3" s="82">
        <v>356980.69649999996</v>
      </c>
      <c r="M3" s="65">
        <v>356980.69649999996</v>
      </c>
      <c r="N3" s="65">
        <v>0</v>
      </c>
      <c r="O3" s="65">
        <v>0</v>
      </c>
      <c r="P3" s="84">
        <f t="shared" ref="P3:P66" si="0">L3/J3</f>
        <v>0.85</v>
      </c>
      <c r="Q3" s="73"/>
      <c r="R3" s="73"/>
    </row>
    <row r="4" spans="1:18" customFormat="1" x14ac:dyDescent="0.3">
      <c r="A4" s="18" t="s">
        <v>7</v>
      </c>
      <c r="B4" s="18" t="s">
        <v>5</v>
      </c>
      <c r="C4" s="18">
        <v>469849</v>
      </c>
      <c r="D4" s="18" t="s">
        <v>9</v>
      </c>
      <c r="E4" s="131" t="s">
        <v>10</v>
      </c>
      <c r="F4" s="18" t="s">
        <v>692</v>
      </c>
      <c r="G4" s="18" t="s">
        <v>692</v>
      </c>
      <c r="H4" s="18" t="s">
        <v>692</v>
      </c>
      <c r="I4" s="18" t="s">
        <v>692</v>
      </c>
      <c r="J4" s="82">
        <v>138855.03</v>
      </c>
      <c r="K4" s="82">
        <v>0</v>
      </c>
      <c r="L4" s="82">
        <v>138855.03</v>
      </c>
      <c r="M4" s="67">
        <v>118026.77549999999</v>
      </c>
      <c r="N4" s="67">
        <v>20828.25450000001</v>
      </c>
      <c r="O4" s="65">
        <v>0</v>
      </c>
      <c r="P4" s="84">
        <f t="shared" si="0"/>
        <v>1</v>
      </c>
      <c r="Q4" s="73"/>
      <c r="R4" s="73"/>
    </row>
    <row r="5" spans="1:18" customFormat="1" x14ac:dyDescent="0.3">
      <c r="A5" s="18" t="s">
        <v>7</v>
      </c>
      <c r="B5" s="18" t="s">
        <v>5</v>
      </c>
      <c r="C5" s="18">
        <v>469849</v>
      </c>
      <c r="D5" s="18" t="s">
        <v>9</v>
      </c>
      <c r="E5" s="131" t="s">
        <v>11</v>
      </c>
      <c r="F5" s="11" t="s">
        <v>692</v>
      </c>
      <c r="G5" s="11" t="s">
        <v>692</v>
      </c>
      <c r="H5" s="11" t="s">
        <v>692</v>
      </c>
      <c r="I5" s="11" t="s">
        <v>692</v>
      </c>
      <c r="J5" s="82">
        <v>49463.1</v>
      </c>
      <c r="K5" s="82">
        <v>0</v>
      </c>
      <c r="L5" s="82">
        <v>49463.1</v>
      </c>
      <c r="M5" s="67">
        <v>42043.64</v>
      </c>
      <c r="N5" s="67">
        <f>L5-M5</f>
        <v>7419.4599999999991</v>
      </c>
      <c r="O5" s="65">
        <v>0</v>
      </c>
      <c r="P5" s="84">
        <f t="shared" si="0"/>
        <v>1</v>
      </c>
      <c r="Q5" s="73"/>
      <c r="R5" s="73"/>
    </row>
    <row r="6" spans="1:18" customFormat="1" x14ac:dyDescent="0.3">
      <c r="A6" s="18" t="s">
        <v>7</v>
      </c>
      <c r="B6" s="18" t="s">
        <v>5</v>
      </c>
      <c r="C6" s="18">
        <v>469849</v>
      </c>
      <c r="D6" s="18" t="s">
        <v>9</v>
      </c>
      <c r="E6" s="117" t="s">
        <v>12</v>
      </c>
      <c r="F6" s="18" t="s">
        <v>692</v>
      </c>
      <c r="G6" s="18" t="s">
        <v>692</v>
      </c>
      <c r="H6" s="18" t="s">
        <v>692</v>
      </c>
      <c r="I6" s="18" t="s">
        <v>692</v>
      </c>
      <c r="J6" s="82">
        <v>15812.74</v>
      </c>
      <c r="K6" s="82">
        <v>2371.91</v>
      </c>
      <c r="L6" s="82">
        <v>13440.83</v>
      </c>
      <c r="M6" s="67">
        <v>13440.83</v>
      </c>
      <c r="N6" s="65">
        <v>0</v>
      </c>
      <c r="O6" s="65">
        <v>0</v>
      </c>
      <c r="P6" s="84">
        <f t="shared" si="0"/>
        <v>0.85000006324014687</v>
      </c>
      <c r="Q6" s="73"/>
      <c r="R6" s="73"/>
    </row>
    <row r="7" spans="1:18" customFormat="1" x14ac:dyDescent="0.3">
      <c r="A7" s="18" t="s">
        <v>7</v>
      </c>
      <c r="B7" s="18" t="s">
        <v>5</v>
      </c>
      <c r="C7" s="18">
        <v>492824</v>
      </c>
      <c r="D7" s="18" t="s">
        <v>693</v>
      </c>
      <c r="E7" s="131" t="s">
        <v>13</v>
      </c>
      <c r="F7" s="18" t="s">
        <v>692</v>
      </c>
      <c r="G7" s="18" t="s">
        <v>692</v>
      </c>
      <c r="H7" s="18" t="s">
        <v>692</v>
      </c>
      <c r="I7" s="18" t="s">
        <v>692</v>
      </c>
      <c r="J7" s="82">
        <v>225090</v>
      </c>
      <c r="K7" s="82">
        <v>0</v>
      </c>
      <c r="L7" s="82">
        <v>225090</v>
      </c>
      <c r="M7" s="67">
        <v>191326.5</v>
      </c>
      <c r="N7" s="67">
        <v>33763.5</v>
      </c>
      <c r="O7" s="65">
        <v>0</v>
      </c>
      <c r="P7" s="84">
        <f t="shared" si="0"/>
        <v>1</v>
      </c>
      <c r="Q7" s="73"/>
      <c r="R7" s="73"/>
    </row>
    <row r="8" spans="1:18" customFormat="1" x14ac:dyDescent="0.3">
      <c r="A8" s="18" t="s">
        <v>7</v>
      </c>
      <c r="B8" s="18" t="s">
        <v>5</v>
      </c>
      <c r="C8" s="18">
        <v>492824</v>
      </c>
      <c r="D8" s="18" t="s">
        <v>693</v>
      </c>
      <c r="E8" s="131" t="s">
        <v>14</v>
      </c>
      <c r="F8" s="18" t="s">
        <v>692</v>
      </c>
      <c r="G8" s="18" t="s">
        <v>692</v>
      </c>
      <c r="H8" s="18" t="s">
        <v>692</v>
      </c>
      <c r="I8" s="18" t="s">
        <v>692</v>
      </c>
      <c r="J8" s="82">
        <v>224450.3</v>
      </c>
      <c r="K8" s="82">
        <v>33667.549999999988</v>
      </c>
      <c r="L8" s="82">
        <v>190782.75</v>
      </c>
      <c r="M8" s="67">
        <v>190782.75</v>
      </c>
      <c r="N8" s="65">
        <v>0</v>
      </c>
      <c r="O8" s="65">
        <v>0</v>
      </c>
      <c r="P8" s="84">
        <f t="shared" si="0"/>
        <v>0.84999997772335345</v>
      </c>
      <c r="Q8" s="73"/>
      <c r="R8" s="73"/>
    </row>
    <row r="9" spans="1:18" customFormat="1" x14ac:dyDescent="0.3">
      <c r="A9" s="18" t="s">
        <v>7</v>
      </c>
      <c r="B9" s="18" t="s">
        <v>5</v>
      </c>
      <c r="C9" s="18">
        <v>492824</v>
      </c>
      <c r="D9" s="18" t="s">
        <v>693</v>
      </c>
      <c r="E9" s="131" t="s">
        <v>15</v>
      </c>
      <c r="F9" s="18" t="s">
        <v>692</v>
      </c>
      <c r="G9" s="18" t="s">
        <v>692</v>
      </c>
      <c r="H9" s="18" t="s">
        <v>692</v>
      </c>
      <c r="I9" s="18" t="s">
        <v>692</v>
      </c>
      <c r="J9" s="82">
        <v>101789.9</v>
      </c>
      <c r="K9" s="82">
        <v>15268.529999999999</v>
      </c>
      <c r="L9" s="82">
        <v>86521.37</v>
      </c>
      <c r="M9" s="67">
        <v>86521.37</v>
      </c>
      <c r="N9" s="65">
        <v>0</v>
      </c>
      <c r="O9" s="65">
        <v>0</v>
      </c>
      <c r="P9" s="84">
        <f t="shared" si="0"/>
        <v>0.8499995579129167</v>
      </c>
      <c r="Q9" s="73"/>
      <c r="R9" s="73"/>
    </row>
    <row r="10" spans="1:18" customFormat="1" ht="29.55" x14ac:dyDescent="0.3">
      <c r="A10" s="18" t="s">
        <v>7</v>
      </c>
      <c r="B10" s="18" t="s">
        <v>5</v>
      </c>
      <c r="C10" s="18">
        <v>541315</v>
      </c>
      <c r="D10" s="18" t="s">
        <v>16</v>
      </c>
      <c r="E10" s="131" t="s">
        <v>17</v>
      </c>
      <c r="F10" s="18" t="s">
        <v>692</v>
      </c>
      <c r="G10" s="18" t="s">
        <v>692</v>
      </c>
      <c r="H10" s="18" t="s">
        <v>692</v>
      </c>
      <c r="I10" s="18" t="s">
        <v>692</v>
      </c>
      <c r="J10" s="82">
        <v>275632.24</v>
      </c>
      <c r="K10" s="82">
        <v>0</v>
      </c>
      <c r="L10" s="82">
        <v>275632.24</v>
      </c>
      <c r="M10" s="67">
        <v>234287.40399999998</v>
      </c>
      <c r="N10" s="67">
        <v>41344.83600000001</v>
      </c>
      <c r="O10" s="65">
        <v>0</v>
      </c>
      <c r="P10" s="84">
        <f t="shared" si="0"/>
        <v>1</v>
      </c>
      <c r="Q10" s="73"/>
      <c r="R10" s="73"/>
    </row>
    <row r="11" spans="1:18" customFormat="1" x14ac:dyDescent="0.3">
      <c r="A11" s="18" t="s">
        <v>7</v>
      </c>
      <c r="B11" s="18" t="s">
        <v>5</v>
      </c>
      <c r="C11" s="18">
        <v>541315</v>
      </c>
      <c r="D11" s="18" t="s">
        <v>16</v>
      </c>
      <c r="E11" s="131" t="s">
        <v>18</v>
      </c>
      <c r="F11" s="18" t="s">
        <v>692</v>
      </c>
      <c r="G11" s="18" t="s">
        <v>692</v>
      </c>
      <c r="H11" s="18" t="s">
        <v>692</v>
      </c>
      <c r="I11" s="18" t="s">
        <v>692</v>
      </c>
      <c r="J11" s="82">
        <v>66912</v>
      </c>
      <c r="K11" s="82">
        <v>0</v>
      </c>
      <c r="L11" s="85">
        <v>66912</v>
      </c>
      <c r="M11" s="67">
        <v>56875.199999999997</v>
      </c>
      <c r="N11" s="67">
        <v>10036.800000000003</v>
      </c>
      <c r="O11" s="65">
        <v>0</v>
      </c>
      <c r="P11" s="84">
        <f t="shared" si="0"/>
        <v>1</v>
      </c>
      <c r="Q11" s="73"/>
      <c r="R11" s="73"/>
    </row>
    <row r="12" spans="1:18" customFormat="1" x14ac:dyDescent="0.3">
      <c r="A12" s="18" t="s">
        <v>7</v>
      </c>
      <c r="B12" s="18" t="s">
        <v>5</v>
      </c>
      <c r="C12" s="18">
        <v>541315</v>
      </c>
      <c r="D12" s="18" t="s">
        <v>16</v>
      </c>
      <c r="E12" s="131" t="s">
        <v>19</v>
      </c>
      <c r="F12" s="18" t="s">
        <v>692</v>
      </c>
      <c r="G12" s="18" t="s">
        <v>692</v>
      </c>
      <c r="H12" s="18" t="s">
        <v>692</v>
      </c>
      <c r="I12" s="18" t="s">
        <v>692</v>
      </c>
      <c r="J12" s="82">
        <v>88313.98</v>
      </c>
      <c r="K12" s="82">
        <v>0</v>
      </c>
      <c r="L12" s="82">
        <v>88313.98</v>
      </c>
      <c r="M12" s="67">
        <v>75066.883000000002</v>
      </c>
      <c r="N12" s="67">
        <v>13247.096999999994</v>
      </c>
      <c r="O12" s="65">
        <v>0</v>
      </c>
      <c r="P12" s="84">
        <f t="shared" si="0"/>
        <v>1</v>
      </c>
      <c r="Q12" s="73"/>
      <c r="R12" s="73"/>
    </row>
    <row r="13" spans="1:18" customFormat="1" x14ac:dyDescent="0.3">
      <c r="A13" s="18" t="s">
        <v>7</v>
      </c>
      <c r="B13" s="18" t="s">
        <v>5</v>
      </c>
      <c r="C13" s="18">
        <v>541315</v>
      </c>
      <c r="D13" s="18" t="s">
        <v>16</v>
      </c>
      <c r="E13" s="131" t="s">
        <v>20</v>
      </c>
      <c r="F13" s="18" t="s">
        <v>692</v>
      </c>
      <c r="G13" s="18" t="s">
        <v>692</v>
      </c>
      <c r="H13" s="18" t="s">
        <v>692</v>
      </c>
      <c r="I13" s="18" t="s">
        <v>692</v>
      </c>
      <c r="J13" s="82">
        <v>117069.63</v>
      </c>
      <c r="K13" s="82">
        <v>17560.429999999993</v>
      </c>
      <c r="L13" s="82">
        <v>99509.200000000012</v>
      </c>
      <c r="M13" s="67">
        <v>99509.200000000012</v>
      </c>
      <c r="N13" s="65">
        <v>0</v>
      </c>
      <c r="O13" s="65">
        <v>0</v>
      </c>
      <c r="P13" s="84">
        <f t="shared" si="0"/>
        <v>0.85000012385791268</v>
      </c>
      <c r="Q13" s="73"/>
      <c r="R13" s="73"/>
    </row>
    <row r="14" spans="1:18" customFormat="1" x14ac:dyDescent="0.3">
      <c r="A14" s="18" t="s">
        <v>7</v>
      </c>
      <c r="B14" s="18" t="s">
        <v>5</v>
      </c>
      <c r="C14" s="18">
        <v>493717</v>
      </c>
      <c r="D14" s="18" t="s">
        <v>21</v>
      </c>
      <c r="E14" s="131" t="s">
        <v>22</v>
      </c>
      <c r="F14" s="12" t="s">
        <v>692</v>
      </c>
      <c r="G14" s="12" t="s">
        <v>692</v>
      </c>
      <c r="H14" s="12" t="s">
        <v>692</v>
      </c>
      <c r="I14" s="12" t="s">
        <v>692</v>
      </c>
      <c r="J14" s="82">
        <f>757468.87-4028.61</f>
        <v>753440.26</v>
      </c>
      <c r="K14" s="82">
        <v>0</v>
      </c>
      <c r="L14" s="82">
        <f>757468.87-4028.61</f>
        <v>753440.26</v>
      </c>
      <c r="M14" s="67">
        <f>L14*0.85</f>
        <v>640424.22100000002</v>
      </c>
      <c r="N14" s="67">
        <f t="shared" ref="N14" si="1">L14-M14</f>
        <v>113016.03899999999</v>
      </c>
      <c r="O14" s="65">
        <v>0</v>
      </c>
      <c r="P14" s="84">
        <f t="shared" si="0"/>
        <v>1</v>
      </c>
      <c r="Q14" s="73"/>
      <c r="R14" s="73"/>
    </row>
    <row r="15" spans="1:18" customFormat="1" x14ac:dyDescent="0.3">
      <c r="A15" s="18" t="s">
        <v>7</v>
      </c>
      <c r="B15" s="18" t="s">
        <v>5</v>
      </c>
      <c r="C15" s="18">
        <v>493717</v>
      </c>
      <c r="D15" s="18" t="s">
        <v>21</v>
      </c>
      <c r="E15" s="116" t="s">
        <v>23</v>
      </c>
      <c r="F15" s="18" t="s">
        <v>692</v>
      </c>
      <c r="G15" s="18" t="s">
        <v>692</v>
      </c>
      <c r="H15" s="18" t="s">
        <v>692</v>
      </c>
      <c r="I15" s="18" t="s">
        <v>692</v>
      </c>
      <c r="J15" s="82">
        <f>444793+6887.77</f>
        <v>451680.77</v>
      </c>
      <c r="K15" s="82">
        <f>J15-L15</f>
        <v>97743.610000000044</v>
      </c>
      <c r="L15" s="82">
        <f>348547.16+5390</f>
        <v>353937.16</v>
      </c>
      <c r="M15" s="67">
        <f>L15</f>
        <v>353937.16</v>
      </c>
      <c r="N15" s="67">
        <f t="shared" ref="N15:N19" si="2">L15-M15</f>
        <v>0</v>
      </c>
      <c r="O15" s="65">
        <v>0</v>
      </c>
      <c r="P15" s="84">
        <f t="shared" si="0"/>
        <v>0.78360024049728738</v>
      </c>
      <c r="Q15" s="73"/>
      <c r="R15" s="73"/>
    </row>
    <row r="16" spans="1:18" customFormat="1" x14ac:dyDescent="0.3">
      <c r="A16" s="18" t="s">
        <v>7</v>
      </c>
      <c r="B16" s="18" t="s">
        <v>5</v>
      </c>
      <c r="C16" s="18">
        <v>493717</v>
      </c>
      <c r="D16" s="18" t="s">
        <v>21</v>
      </c>
      <c r="E16" s="131" t="s">
        <v>24</v>
      </c>
      <c r="F16" s="49" t="s">
        <v>692</v>
      </c>
      <c r="G16" s="49" t="s">
        <v>692</v>
      </c>
      <c r="H16" s="49" t="s">
        <v>692</v>
      </c>
      <c r="I16" s="49" t="s">
        <v>692</v>
      </c>
      <c r="J16" s="82">
        <f>94599.05-680.72</f>
        <v>93918.33</v>
      </c>
      <c r="K16" s="82">
        <v>0</v>
      </c>
      <c r="L16" s="82">
        <f>94599.05-680.72</f>
        <v>93918.33</v>
      </c>
      <c r="M16" s="67">
        <f>L16*0.85</f>
        <v>79830.580499999996</v>
      </c>
      <c r="N16" s="67">
        <f t="shared" si="2"/>
        <v>14087.749500000005</v>
      </c>
      <c r="O16" s="65">
        <v>0</v>
      </c>
      <c r="P16" s="84">
        <f t="shared" si="0"/>
        <v>1</v>
      </c>
      <c r="Q16" s="73"/>
      <c r="R16" s="73"/>
    </row>
    <row r="17" spans="1:18" customFormat="1" x14ac:dyDescent="0.3">
      <c r="A17" s="18" t="s">
        <v>7</v>
      </c>
      <c r="B17" s="18" t="s">
        <v>5</v>
      </c>
      <c r="C17" s="18">
        <v>493717</v>
      </c>
      <c r="D17" s="18" t="s">
        <v>21</v>
      </c>
      <c r="E17" s="118" t="s">
        <v>25</v>
      </c>
      <c r="F17" s="12" t="s">
        <v>692</v>
      </c>
      <c r="G17" s="12" t="s">
        <v>692</v>
      </c>
      <c r="H17" s="12" t="s">
        <v>692</v>
      </c>
      <c r="I17" s="12" t="s">
        <v>692</v>
      </c>
      <c r="J17" s="82">
        <f>236697.83-2178.45</f>
        <v>234519.37999999998</v>
      </c>
      <c r="K17" s="82">
        <v>0</v>
      </c>
      <c r="L17" s="82">
        <f>236697.825-2178.45</f>
        <v>234519.375</v>
      </c>
      <c r="M17" s="67">
        <f>L17*0.85</f>
        <v>199341.46875</v>
      </c>
      <c r="N17" s="67">
        <f t="shared" si="2"/>
        <v>35177.90625</v>
      </c>
      <c r="O17" s="65">
        <v>0</v>
      </c>
      <c r="P17" s="84">
        <f t="shared" si="0"/>
        <v>0.99999997867980051</v>
      </c>
      <c r="Q17" s="73"/>
      <c r="R17" s="73"/>
    </row>
    <row r="18" spans="1:18" customFormat="1" x14ac:dyDescent="0.3">
      <c r="A18" s="18" t="s">
        <v>7</v>
      </c>
      <c r="B18" s="18" t="s">
        <v>5</v>
      </c>
      <c r="C18" s="18">
        <v>480739</v>
      </c>
      <c r="D18" s="18" t="s">
        <v>26</v>
      </c>
      <c r="E18" s="116" t="s">
        <v>27</v>
      </c>
      <c r="F18" s="12" t="s">
        <v>692</v>
      </c>
      <c r="G18" s="12" t="s">
        <v>692</v>
      </c>
      <c r="H18" s="12" t="s">
        <v>692</v>
      </c>
      <c r="I18" s="12" t="s">
        <v>692</v>
      </c>
      <c r="J18" s="82">
        <v>628484.31224999996</v>
      </c>
      <c r="K18" s="82">
        <v>0</v>
      </c>
      <c r="L18" s="82">
        <v>628484.31224999996</v>
      </c>
      <c r="M18" s="67">
        <v>534211.67000000004</v>
      </c>
      <c r="N18" s="67">
        <f t="shared" si="2"/>
        <v>94272.642249999917</v>
      </c>
      <c r="O18" s="65">
        <v>0</v>
      </c>
      <c r="P18" s="84">
        <f t="shared" si="0"/>
        <v>1</v>
      </c>
      <c r="Q18" s="73"/>
      <c r="R18" s="73"/>
    </row>
    <row r="19" spans="1:18" customFormat="1" x14ac:dyDescent="0.3">
      <c r="A19" s="18" t="s">
        <v>7</v>
      </c>
      <c r="B19" s="18" t="s">
        <v>5</v>
      </c>
      <c r="C19" s="18">
        <v>480739</v>
      </c>
      <c r="D19" s="18" t="s">
        <v>26</v>
      </c>
      <c r="E19" s="116" t="s">
        <v>28</v>
      </c>
      <c r="F19" s="12" t="s">
        <v>692</v>
      </c>
      <c r="G19" s="12" t="s">
        <v>692</v>
      </c>
      <c r="H19" s="12" t="s">
        <v>692</v>
      </c>
      <c r="I19" s="12" t="s">
        <v>692</v>
      </c>
      <c r="J19" s="82">
        <v>340181.1</v>
      </c>
      <c r="K19" s="82">
        <v>0</v>
      </c>
      <c r="L19" s="82">
        <v>340181.1</v>
      </c>
      <c r="M19" s="67">
        <v>289153.94</v>
      </c>
      <c r="N19" s="67">
        <f t="shared" si="2"/>
        <v>51027.159999999974</v>
      </c>
      <c r="O19" s="65">
        <v>0</v>
      </c>
      <c r="P19" s="84">
        <f t="shared" si="0"/>
        <v>1</v>
      </c>
      <c r="Q19" s="73"/>
      <c r="R19" s="73"/>
    </row>
    <row r="20" spans="1:18" customFormat="1" x14ac:dyDescent="0.3">
      <c r="A20" s="18" t="s">
        <v>7</v>
      </c>
      <c r="B20" s="18" t="s">
        <v>5</v>
      </c>
      <c r="C20" s="18">
        <v>480739</v>
      </c>
      <c r="D20" s="18" t="s">
        <v>26</v>
      </c>
      <c r="E20" s="116" t="s">
        <v>29</v>
      </c>
      <c r="F20" s="12" t="s">
        <v>692</v>
      </c>
      <c r="G20" s="12" t="s">
        <v>692</v>
      </c>
      <c r="H20" s="12" t="s">
        <v>692</v>
      </c>
      <c r="I20" s="12" t="s">
        <v>692</v>
      </c>
      <c r="J20" s="82">
        <v>152520</v>
      </c>
      <c r="K20" s="82">
        <v>33003.040200000003</v>
      </c>
      <c r="L20" s="82">
        <v>119516.9598</v>
      </c>
      <c r="M20" s="67">
        <v>119516.9598</v>
      </c>
      <c r="N20" s="65">
        <v>0</v>
      </c>
      <c r="O20" s="65">
        <v>0</v>
      </c>
      <c r="P20" s="84">
        <f t="shared" si="0"/>
        <v>0.78361499999999995</v>
      </c>
      <c r="Q20" s="73"/>
      <c r="R20" s="73"/>
    </row>
    <row r="21" spans="1:18" customFormat="1" x14ac:dyDescent="0.3">
      <c r="A21" s="18" t="s">
        <v>7</v>
      </c>
      <c r="B21" s="18" t="s">
        <v>5</v>
      </c>
      <c r="C21" s="18">
        <v>480739</v>
      </c>
      <c r="D21" s="18" t="s">
        <v>26</v>
      </c>
      <c r="E21" s="116" t="s">
        <v>30</v>
      </c>
      <c r="F21" s="12" t="s">
        <v>692</v>
      </c>
      <c r="G21" s="12">
        <v>3286</v>
      </c>
      <c r="H21" s="12">
        <v>581750</v>
      </c>
      <c r="I21" s="12" t="s">
        <v>692</v>
      </c>
      <c r="J21" s="82">
        <v>59655</v>
      </c>
      <c r="K21" s="82">
        <v>12908.447175000001</v>
      </c>
      <c r="L21" s="82">
        <v>46746.552824999999</v>
      </c>
      <c r="M21" s="67">
        <v>46746.552824999999</v>
      </c>
      <c r="N21" s="65">
        <v>0</v>
      </c>
      <c r="O21" s="65">
        <v>0</v>
      </c>
      <c r="P21" s="84">
        <f t="shared" si="0"/>
        <v>0.78361499999999995</v>
      </c>
      <c r="Q21" s="73"/>
      <c r="R21" s="73"/>
    </row>
    <row r="22" spans="1:18" customFormat="1" x14ac:dyDescent="0.3">
      <c r="A22" s="18" t="s">
        <v>7</v>
      </c>
      <c r="B22" s="18" t="s">
        <v>5</v>
      </c>
      <c r="C22" s="18">
        <v>480739</v>
      </c>
      <c r="D22" s="18" t="s">
        <v>26</v>
      </c>
      <c r="E22" s="116" t="s">
        <v>31</v>
      </c>
      <c r="F22" s="12" t="s">
        <v>692</v>
      </c>
      <c r="G22" s="12" t="s">
        <v>692</v>
      </c>
      <c r="H22" s="12" t="s">
        <v>692</v>
      </c>
      <c r="I22" s="12" t="s">
        <v>692</v>
      </c>
      <c r="J22" s="82">
        <f>335078.3835-8476.23</f>
        <v>326602.15350000001</v>
      </c>
      <c r="K22" s="82">
        <v>0</v>
      </c>
      <c r="L22" s="82">
        <f>335078.3835-8476.23</f>
        <v>326602.15350000001</v>
      </c>
      <c r="M22" s="67">
        <f>L22*0.85</f>
        <v>277611.83047500002</v>
      </c>
      <c r="N22" s="67">
        <f>L22-M22</f>
        <v>48990.323024999991</v>
      </c>
      <c r="O22" s="65">
        <v>0</v>
      </c>
      <c r="P22" s="84">
        <f t="shared" si="0"/>
        <v>1</v>
      </c>
      <c r="Q22" s="73"/>
      <c r="R22" s="73"/>
    </row>
    <row r="23" spans="1:18" customFormat="1" x14ac:dyDescent="0.3">
      <c r="A23" s="18" t="s">
        <v>7</v>
      </c>
      <c r="B23" s="18" t="s">
        <v>5</v>
      </c>
      <c r="C23" s="18">
        <v>480739</v>
      </c>
      <c r="D23" s="18" t="s">
        <v>26</v>
      </c>
      <c r="E23" s="116" t="s">
        <v>32</v>
      </c>
      <c r="F23" s="18" t="s">
        <v>692</v>
      </c>
      <c r="G23" s="18">
        <v>3286</v>
      </c>
      <c r="H23" s="18">
        <v>581751</v>
      </c>
      <c r="I23" s="18" t="s">
        <v>692</v>
      </c>
      <c r="J23" s="82">
        <v>61008</v>
      </c>
      <c r="K23" s="82">
        <v>13201.216079999998</v>
      </c>
      <c r="L23" s="82">
        <v>47806.783920000002</v>
      </c>
      <c r="M23" s="67">
        <v>47806.783920000002</v>
      </c>
      <c r="N23" s="65">
        <v>0</v>
      </c>
      <c r="O23" s="65">
        <v>0</v>
      </c>
      <c r="P23" s="84">
        <f t="shared" si="0"/>
        <v>0.78361500000000006</v>
      </c>
      <c r="Q23" s="73"/>
      <c r="R23" s="73"/>
    </row>
    <row r="24" spans="1:18" customFormat="1" x14ac:dyDescent="0.3">
      <c r="A24" s="18" t="s">
        <v>7</v>
      </c>
      <c r="B24" s="18" t="s">
        <v>5</v>
      </c>
      <c r="C24" s="18">
        <v>471690</v>
      </c>
      <c r="D24" s="18" t="s">
        <v>33</v>
      </c>
      <c r="E24" s="131" t="s">
        <v>34</v>
      </c>
      <c r="F24" s="18" t="s">
        <v>692</v>
      </c>
      <c r="G24" s="18" t="s">
        <v>692</v>
      </c>
      <c r="H24" s="18" t="s">
        <v>692</v>
      </c>
      <c r="I24" s="18" t="s">
        <v>692</v>
      </c>
      <c r="J24" s="82">
        <v>435211.85</v>
      </c>
      <c r="K24" s="82">
        <v>96268.828213645029</v>
      </c>
      <c r="L24" s="82">
        <v>338943.02178635495</v>
      </c>
      <c r="M24" s="67">
        <v>338943.02178635495</v>
      </c>
      <c r="N24" s="65">
        <v>0</v>
      </c>
      <c r="O24" s="65">
        <v>0</v>
      </c>
      <c r="P24" s="84">
        <f t="shared" si="0"/>
        <v>0.77880007583974331</v>
      </c>
      <c r="Q24" s="73"/>
      <c r="R24" s="73"/>
    </row>
    <row r="25" spans="1:18" customFormat="1" ht="29.55" x14ac:dyDescent="0.3">
      <c r="A25" s="18" t="s">
        <v>7</v>
      </c>
      <c r="B25" s="18" t="s">
        <v>5</v>
      </c>
      <c r="C25" s="18">
        <v>471690</v>
      </c>
      <c r="D25" s="18" t="s">
        <v>33</v>
      </c>
      <c r="E25" s="131" t="s">
        <v>35</v>
      </c>
      <c r="F25" s="18" t="s">
        <v>692</v>
      </c>
      <c r="G25" s="18">
        <v>3286</v>
      </c>
      <c r="H25" s="18" t="s">
        <v>694</v>
      </c>
      <c r="I25" s="18">
        <v>231996</v>
      </c>
      <c r="J25" s="82">
        <v>200000</v>
      </c>
      <c r="K25" s="82">
        <v>100000</v>
      </c>
      <c r="L25" s="82">
        <v>100000</v>
      </c>
      <c r="M25" s="67">
        <v>100000</v>
      </c>
      <c r="N25" s="65">
        <v>0</v>
      </c>
      <c r="O25" s="65">
        <v>0</v>
      </c>
      <c r="P25" s="84">
        <f t="shared" si="0"/>
        <v>0.5</v>
      </c>
      <c r="Q25" s="73"/>
      <c r="R25" s="73"/>
    </row>
    <row r="26" spans="1:18" customFormat="1" x14ac:dyDescent="0.3">
      <c r="A26" s="18" t="s">
        <v>7</v>
      </c>
      <c r="B26" s="18" t="s">
        <v>5</v>
      </c>
      <c r="C26" s="18">
        <v>471690</v>
      </c>
      <c r="D26" s="18" t="s">
        <v>33</v>
      </c>
      <c r="E26" s="131" t="s">
        <v>36</v>
      </c>
      <c r="F26" s="18" t="s">
        <v>692</v>
      </c>
      <c r="G26" s="18" t="s">
        <v>692</v>
      </c>
      <c r="H26" s="18" t="s">
        <v>692</v>
      </c>
      <c r="I26" s="18" t="s">
        <v>692</v>
      </c>
      <c r="J26" s="82">
        <v>334230.09935202991</v>
      </c>
      <c r="K26" s="82">
        <v>0</v>
      </c>
      <c r="L26" s="82">
        <v>334230.09935202991</v>
      </c>
      <c r="M26" s="67">
        <v>284095.58</v>
      </c>
      <c r="N26" s="67">
        <f>L26-M26</f>
        <v>50134.519352029893</v>
      </c>
      <c r="O26" s="65">
        <v>0</v>
      </c>
      <c r="P26" s="84">
        <f t="shared" si="0"/>
        <v>1</v>
      </c>
      <c r="Q26" s="73"/>
      <c r="R26" s="73"/>
    </row>
    <row r="27" spans="1:18" customFormat="1" ht="44.35" x14ac:dyDescent="0.3">
      <c r="A27" s="18" t="s">
        <v>7</v>
      </c>
      <c r="B27" s="18" t="s">
        <v>5</v>
      </c>
      <c r="C27" s="18">
        <v>603882</v>
      </c>
      <c r="D27" s="18" t="s">
        <v>37</v>
      </c>
      <c r="E27" s="131" t="s">
        <v>38</v>
      </c>
      <c r="F27" s="49" t="s">
        <v>692</v>
      </c>
      <c r="G27" s="49" t="s">
        <v>692</v>
      </c>
      <c r="H27" s="49" t="s">
        <v>692</v>
      </c>
      <c r="I27" s="49" t="s">
        <v>692</v>
      </c>
      <c r="J27" s="82">
        <f>545662.291200803+2424.7</f>
        <v>548086.99120080296</v>
      </c>
      <c r="K27" s="85">
        <v>0</v>
      </c>
      <c r="L27" s="82">
        <f>545662.291200803+2424.7</f>
        <v>548086.99120080296</v>
      </c>
      <c r="M27" s="67">
        <f>L27*0.85</f>
        <v>465873.94252068253</v>
      </c>
      <c r="N27" s="67">
        <f>L27-M27</f>
        <v>82213.048680120439</v>
      </c>
      <c r="O27" s="65">
        <v>0</v>
      </c>
      <c r="P27" s="84">
        <f t="shared" si="0"/>
        <v>1</v>
      </c>
      <c r="Q27" s="73"/>
      <c r="R27" s="73"/>
    </row>
    <row r="28" spans="1:18" customFormat="1" ht="44.35" x14ac:dyDescent="0.3">
      <c r="A28" s="18" t="s">
        <v>7</v>
      </c>
      <c r="B28" s="18" t="s">
        <v>5</v>
      </c>
      <c r="C28" s="18">
        <v>603882</v>
      </c>
      <c r="D28" s="18" t="s">
        <v>37</v>
      </c>
      <c r="E28" s="118" t="s">
        <v>39</v>
      </c>
      <c r="F28" s="49" t="s">
        <v>692</v>
      </c>
      <c r="G28" s="49" t="s">
        <v>692</v>
      </c>
      <c r="H28" s="49" t="s">
        <v>692</v>
      </c>
      <c r="I28" s="49" t="s">
        <v>692</v>
      </c>
      <c r="J28" s="82">
        <f>91663.01-3574.6</f>
        <v>88088.409999999989</v>
      </c>
      <c r="K28" s="85">
        <v>0</v>
      </c>
      <c r="L28" s="82">
        <f>91663.01-3574.6</f>
        <v>88088.409999999989</v>
      </c>
      <c r="M28" s="67">
        <f>L28*0.85</f>
        <v>74875.148499999996</v>
      </c>
      <c r="N28" s="67">
        <f>L28-M28</f>
        <v>13213.261499999993</v>
      </c>
      <c r="O28" s="65">
        <v>0</v>
      </c>
      <c r="P28" s="84">
        <f t="shared" si="0"/>
        <v>1</v>
      </c>
      <c r="Q28" s="73"/>
      <c r="R28" s="73"/>
    </row>
    <row r="29" spans="1:18" customFormat="1" ht="29.55" x14ac:dyDescent="0.3">
      <c r="A29" s="18" t="s">
        <v>7</v>
      </c>
      <c r="B29" s="18" t="s">
        <v>5</v>
      </c>
      <c r="C29" s="18">
        <v>475989</v>
      </c>
      <c r="D29" s="18" t="s">
        <v>40</v>
      </c>
      <c r="E29" s="118" t="s">
        <v>41</v>
      </c>
      <c r="F29" s="49" t="s">
        <v>692</v>
      </c>
      <c r="G29" s="49" t="s">
        <v>692</v>
      </c>
      <c r="H29" s="49" t="s">
        <v>692</v>
      </c>
      <c r="I29" s="49" t="s">
        <v>692</v>
      </c>
      <c r="J29" s="82">
        <f>986621.250611129+6472.53</f>
        <v>993093.78061112901</v>
      </c>
      <c r="K29" s="85">
        <v>0</v>
      </c>
      <c r="L29" s="82">
        <f>986621.250611129+6472.53</f>
        <v>993093.78061112901</v>
      </c>
      <c r="M29" s="67">
        <f>L29*0.85</f>
        <v>844129.71351945959</v>
      </c>
      <c r="N29" s="67">
        <f>L29-M29</f>
        <v>148964.06709166942</v>
      </c>
      <c r="O29" s="65">
        <v>0</v>
      </c>
      <c r="P29" s="84">
        <f t="shared" si="0"/>
        <v>1</v>
      </c>
      <c r="Q29" s="73"/>
      <c r="R29" s="73"/>
    </row>
    <row r="30" spans="1:18" customFormat="1" ht="29.55" x14ac:dyDescent="0.3">
      <c r="A30" s="18" t="s">
        <v>7</v>
      </c>
      <c r="B30" s="18" t="s">
        <v>5</v>
      </c>
      <c r="C30" s="18">
        <v>475989</v>
      </c>
      <c r="D30" s="18" t="s">
        <v>40</v>
      </c>
      <c r="E30" s="118" t="s">
        <v>42</v>
      </c>
      <c r="F30" s="18" t="s">
        <v>692</v>
      </c>
      <c r="G30" s="49" t="s">
        <v>692</v>
      </c>
      <c r="H30" s="49" t="s">
        <v>692</v>
      </c>
      <c r="I30" s="49" t="s">
        <v>692</v>
      </c>
      <c r="J30" s="82">
        <f>117524.89037531-6472.53</f>
        <v>111052.36037531</v>
      </c>
      <c r="K30" s="85">
        <v>0</v>
      </c>
      <c r="L30" s="82">
        <f>117524.89037531-6472.53</f>
        <v>111052.36037531</v>
      </c>
      <c r="M30" s="67">
        <f>L30*0.85</f>
        <v>94394.506319013497</v>
      </c>
      <c r="N30" s="67">
        <f>L30-M30</f>
        <v>16657.854056296506</v>
      </c>
      <c r="O30" s="65">
        <v>0</v>
      </c>
      <c r="P30" s="84">
        <f t="shared" si="0"/>
        <v>1</v>
      </c>
      <c r="Q30" s="73"/>
      <c r="R30" s="73"/>
    </row>
    <row r="31" spans="1:18" customFormat="1" ht="29.55" x14ac:dyDescent="0.3">
      <c r="A31" s="18" t="s">
        <v>7</v>
      </c>
      <c r="B31" s="18" t="s">
        <v>5</v>
      </c>
      <c r="C31" s="18">
        <v>622330</v>
      </c>
      <c r="D31" s="18" t="s">
        <v>43</v>
      </c>
      <c r="E31" s="131" t="s">
        <v>44</v>
      </c>
      <c r="F31" s="18" t="s">
        <v>692</v>
      </c>
      <c r="G31" s="18">
        <v>3286</v>
      </c>
      <c r="H31" s="18">
        <v>581754</v>
      </c>
      <c r="I31" s="18">
        <v>773819</v>
      </c>
      <c r="J31" s="82">
        <v>215648.88999999998</v>
      </c>
      <c r="K31" s="85">
        <v>47743.659999999974</v>
      </c>
      <c r="L31" s="85">
        <v>167905.23</v>
      </c>
      <c r="M31" s="67">
        <v>167905.23</v>
      </c>
      <c r="N31" s="65">
        <v>0</v>
      </c>
      <c r="O31" s="65">
        <v>0</v>
      </c>
      <c r="P31" s="84">
        <f t="shared" si="0"/>
        <v>0.77860465685680103</v>
      </c>
      <c r="Q31" s="73"/>
      <c r="R31" s="73"/>
    </row>
    <row r="32" spans="1:18" customFormat="1" x14ac:dyDescent="0.3">
      <c r="A32" s="18" t="s">
        <v>7</v>
      </c>
      <c r="B32" s="18" t="s">
        <v>5</v>
      </c>
      <c r="C32" s="18">
        <v>622330</v>
      </c>
      <c r="D32" s="18" t="s">
        <v>43</v>
      </c>
      <c r="E32" s="131" t="s">
        <v>45</v>
      </c>
      <c r="F32" s="18" t="s">
        <v>692</v>
      </c>
      <c r="G32" s="18">
        <v>3286</v>
      </c>
      <c r="H32" s="18">
        <v>581755</v>
      </c>
      <c r="I32" s="18">
        <v>773820</v>
      </c>
      <c r="J32" s="82">
        <v>117295.26</v>
      </c>
      <c r="K32" s="85">
        <v>25945.699999999997</v>
      </c>
      <c r="L32" s="85">
        <v>91349.56</v>
      </c>
      <c r="M32" s="67">
        <v>91349.56</v>
      </c>
      <c r="N32" s="65">
        <v>0</v>
      </c>
      <c r="O32" s="65">
        <v>0</v>
      </c>
      <c r="P32" s="84">
        <f t="shared" si="0"/>
        <v>0.77880009814548345</v>
      </c>
      <c r="Q32" s="73"/>
      <c r="R32" s="73"/>
    </row>
    <row r="33" spans="1:18" customFormat="1" x14ac:dyDescent="0.3">
      <c r="A33" s="18" t="s">
        <v>7</v>
      </c>
      <c r="B33" s="18" t="s">
        <v>5</v>
      </c>
      <c r="C33" s="18">
        <v>622330</v>
      </c>
      <c r="D33" s="18" t="s">
        <v>43</v>
      </c>
      <c r="E33" s="131" t="s">
        <v>46</v>
      </c>
      <c r="F33" s="18" t="s">
        <v>692</v>
      </c>
      <c r="G33" s="18">
        <v>3286</v>
      </c>
      <c r="H33" s="18">
        <v>581756</v>
      </c>
      <c r="I33" s="18">
        <v>773824</v>
      </c>
      <c r="J33" s="82">
        <v>210822</v>
      </c>
      <c r="K33" s="85">
        <v>46633.589999999967</v>
      </c>
      <c r="L33" s="85">
        <v>164188.41000000003</v>
      </c>
      <c r="M33" s="67">
        <v>164188.41000000003</v>
      </c>
      <c r="N33" s="65">
        <v>0</v>
      </c>
      <c r="O33" s="65">
        <v>0</v>
      </c>
      <c r="P33" s="84">
        <f t="shared" si="0"/>
        <v>0.77880112132509904</v>
      </c>
      <c r="Q33" s="73"/>
      <c r="R33" s="73"/>
    </row>
    <row r="34" spans="1:18" customFormat="1" x14ac:dyDescent="0.3">
      <c r="A34" s="18" t="s">
        <v>7</v>
      </c>
      <c r="B34" s="18" t="s">
        <v>5</v>
      </c>
      <c r="C34" s="18">
        <v>622330</v>
      </c>
      <c r="D34" s="18" t="s">
        <v>43</v>
      </c>
      <c r="E34" s="131" t="s">
        <v>34</v>
      </c>
      <c r="F34" s="49" t="s">
        <v>692</v>
      </c>
      <c r="G34" s="49" t="s">
        <v>692</v>
      </c>
      <c r="H34" s="49" t="s">
        <v>692</v>
      </c>
      <c r="I34" s="49" t="s">
        <v>692</v>
      </c>
      <c r="J34" s="82">
        <v>196258.11000000002</v>
      </c>
      <c r="K34" s="85">
        <v>43412.320000000007</v>
      </c>
      <c r="L34" s="85">
        <v>152845.79</v>
      </c>
      <c r="M34" s="67">
        <v>152845.79</v>
      </c>
      <c r="N34" s="65">
        <v>0</v>
      </c>
      <c r="O34" s="65">
        <v>0</v>
      </c>
      <c r="P34" s="84">
        <f t="shared" si="0"/>
        <v>0.77879986717491567</v>
      </c>
      <c r="Q34" s="73"/>
      <c r="R34" s="73"/>
    </row>
    <row r="35" spans="1:18" customFormat="1" x14ac:dyDescent="0.3">
      <c r="A35" s="18" t="s">
        <v>7</v>
      </c>
      <c r="B35" s="18" t="s">
        <v>5</v>
      </c>
      <c r="C35" s="18">
        <v>499464</v>
      </c>
      <c r="D35" s="18" t="s">
        <v>47</v>
      </c>
      <c r="E35" s="118" t="s">
        <v>48</v>
      </c>
      <c r="F35" s="18" t="s">
        <v>692</v>
      </c>
      <c r="G35" s="18" t="s">
        <v>692</v>
      </c>
      <c r="H35" s="18" t="s">
        <v>692</v>
      </c>
      <c r="I35" s="18" t="s">
        <v>692</v>
      </c>
      <c r="J35" s="82">
        <v>742150.66552158759</v>
      </c>
      <c r="K35" s="85">
        <v>0</v>
      </c>
      <c r="L35" s="85">
        <v>742150.66552158759</v>
      </c>
      <c r="M35" s="67">
        <v>630828.06569334946</v>
      </c>
      <c r="N35" s="67">
        <v>111322.59982823813</v>
      </c>
      <c r="O35" s="65">
        <v>0</v>
      </c>
      <c r="P35" s="84">
        <f t="shared" si="0"/>
        <v>1</v>
      </c>
      <c r="Q35" s="73"/>
      <c r="R35" s="73"/>
    </row>
    <row r="36" spans="1:18" customFormat="1" x14ac:dyDescent="0.3">
      <c r="A36" s="18" t="s">
        <v>7</v>
      </c>
      <c r="B36" s="18" t="s">
        <v>5</v>
      </c>
      <c r="C36" s="18">
        <v>499464</v>
      </c>
      <c r="D36" s="18" t="s">
        <v>47</v>
      </c>
      <c r="E36" s="131" t="s">
        <v>49</v>
      </c>
      <c r="F36" s="18" t="s">
        <v>692</v>
      </c>
      <c r="G36" s="18" t="s">
        <v>692</v>
      </c>
      <c r="H36" s="18" t="s">
        <v>692</v>
      </c>
      <c r="I36" s="18" t="s">
        <v>692</v>
      </c>
      <c r="J36" s="82">
        <v>86171.739999999991</v>
      </c>
      <c r="K36" s="85">
        <v>0</v>
      </c>
      <c r="L36" s="85">
        <v>86171.739999999991</v>
      </c>
      <c r="M36" s="67">
        <v>73245.978999999992</v>
      </c>
      <c r="N36" s="67">
        <v>12925.760999999999</v>
      </c>
      <c r="O36" s="65">
        <v>0</v>
      </c>
      <c r="P36" s="84">
        <f t="shared" si="0"/>
        <v>1</v>
      </c>
      <c r="Q36" s="73"/>
      <c r="R36" s="73"/>
    </row>
    <row r="37" spans="1:18" customFormat="1" x14ac:dyDescent="0.3">
      <c r="A37" s="18" t="s">
        <v>7</v>
      </c>
      <c r="B37" s="18" t="s">
        <v>5</v>
      </c>
      <c r="C37" s="18">
        <v>499464</v>
      </c>
      <c r="D37" s="18" t="s">
        <v>47</v>
      </c>
      <c r="E37" s="131" t="s">
        <v>50</v>
      </c>
      <c r="F37" s="18" t="s">
        <v>692</v>
      </c>
      <c r="G37" s="18" t="s">
        <v>692</v>
      </c>
      <c r="H37" s="18" t="s">
        <v>692</v>
      </c>
      <c r="I37" s="18" t="s">
        <v>692</v>
      </c>
      <c r="J37" s="82">
        <v>164006.404726376</v>
      </c>
      <c r="K37" s="85">
        <v>0</v>
      </c>
      <c r="L37" s="85">
        <v>164006.404726376</v>
      </c>
      <c r="M37" s="67">
        <v>139405.44401741959</v>
      </c>
      <c r="N37" s="67">
        <v>24600.960708956409</v>
      </c>
      <c r="O37" s="65">
        <v>0</v>
      </c>
      <c r="P37" s="84">
        <f t="shared" si="0"/>
        <v>1</v>
      </c>
      <c r="Q37" s="73"/>
      <c r="R37" s="73"/>
    </row>
    <row r="38" spans="1:18" customFormat="1" x14ac:dyDescent="0.3">
      <c r="A38" s="18" t="s">
        <v>7</v>
      </c>
      <c r="B38" s="18" t="s">
        <v>5</v>
      </c>
      <c r="C38" s="18">
        <v>499464</v>
      </c>
      <c r="D38" s="18" t="s">
        <v>47</v>
      </c>
      <c r="E38" s="131" t="s">
        <v>51</v>
      </c>
      <c r="F38" s="18" t="s">
        <v>692</v>
      </c>
      <c r="G38" s="18" t="s">
        <v>692</v>
      </c>
      <c r="H38" s="18" t="s">
        <v>692</v>
      </c>
      <c r="I38" s="18" t="s">
        <v>692</v>
      </c>
      <c r="J38" s="82">
        <v>100000</v>
      </c>
      <c r="K38" s="85">
        <v>22119.991889709941</v>
      </c>
      <c r="L38" s="85">
        <v>77880.008110290059</v>
      </c>
      <c r="M38" s="67">
        <v>77880.008110290059</v>
      </c>
      <c r="N38" s="65">
        <v>0</v>
      </c>
      <c r="O38" s="65">
        <v>0</v>
      </c>
      <c r="P38" s="84">
        <f t="shared" si="0"/>
        <v>0.77880008110290055</v>
      </c>
      <c r="Q38" s="73"/>
      <c r="R38" s="73"/>
    </row>
    <row r="39" spans="1:18" customFormat="1" x14ac:dyDescent="0.3">
      <c r="A39" s="18" t="s">
        <v>7</v>
      </c>
      <c r="B39" s="18" t="s">
        <v>5</v>
      </c>
      <c r="C39" s="18">
        <v>499464</v>
      </c>
      <c r="D39" s="18" t="s">
        <v>47</v>
      </c>
      <c r="E39" s="131" t="s">
        <v>52</v>
      </c>
      <c r="F39" s="18" t="s">
        <v>692</v>
      </c>
      <c r="G39" s="18" t="s">
        <v>692</v>
      </c>
      <c r="H39" s="18" t="s">
        <v>692</v>
      </c>
      <c r="I39" s="18" t="s">
        <v>692</v>
      </c>
      <c r="J39" s="82">
        <v>100000</v>
      </c>
      <c r="K39" s="85">
        <v>22119.991889709941</v>
      </c>
      <c r="L39" s="85">
        <v>77880.008110290059</v>
      </c>
      <c r="M39" s="67">
        <v>77880.008110290059</v>
      </c>
      <c r="N39" s="65">
        <v>0</v>
      </c>
      <c r="O39" s="65">
        <v>0</v>
      </c>
      <c r="P39" s="84">
        <f t="shared" si="0"/>
        <v>0.77880008110290055</v>
      </c>
      <c r="Q39" s="73"/>
      <c r="R39" s="73"/>
    </row>
    <row r="40" spans="1:18" customFormat="1" x14ac:dyDescent="0.3">
      <c r="A40" s="18" t="s">
        <v>7</v>
      </c>
      <c r="B40" s="18" t="s">
        <v>5</v>
      </c>
      <c r="C40" s="18">
        <v>499464</v>
      </c>
      <c r="D40" s="18" t="s">
        <v>47</v>
      </c>
      <c r="E40" s="131" t="s">
        <v>53</v>
      </c>
      <c r="F40" s="18" t="s">
        <v>692</v>
      </c>
      <c r="G40" s="18" t="s">
        <v>692</v>
      </c>
      <c r="H40" s="18" t="s">
        <v>692</v>
      </c>
      <c r="I40" s="18" t="s">
        <v>692</v>
      </c>
      <c r="J40" s="82">
        <v>96280.56</v>
      </c>
      <c r="K40" s="85">
        <v>21297.22</v>
      </c>
      <c r="L40" s="85">
        <v>74983.34</v>
      </c>
      <c r="M40" s="67">
        <v>74983.34</v>
      </c>
      <c r="N40" s="65">
        <v>0</v>
      </c>
      <c r="O40" s="65">
        <v>0</v>
      </c>
      <c r="P40" s="84">
        <f t="shared" si="0"/>
        <v>0.77880041412305867</v>
      </c>
      <c r="Q40" s="73"/>
      <c r="R40" s="73"/>
    </row>
    <row r="41" spans="1:18" customFormat="1" x14ac:dyDescent="0.3">
      <c r="A41" s="18" t="s">
        <v>7</v>
      </c>
      <c r="B41" s="18" t="s">
        <v>5</v>
      </c>
      <c r="C41" s="18">
        <v>618805</v>
      </c>
      <c r="D41" s="18" t="s">
        <v>54</v>
      </c>
      <c r="E41" s="131" t="s">
        <v>55</v>
      </c>
      <c r="F41" s="12" t="s">
        <v>692</v>
      </c>
      <c r="G41" s="12" t="s">
        <v>692</v>
      </c>
      <c r="H41" s="12" t="s">
        <v>692</v>
      </c>
      <c r="I41" s="12" t="s">
        <v>692</v>
      </c>
      <c r="J41" s="82">
        <f>539940.35-(4264.99)</f>
        <v>535675.36</v>
      </c>
      <c r="K41" s="82">
        <v>0</v>
      </c>
      <c r="L41" s="82">
        <f>539940.35-(4264.99)</f>
        <v>535675.36</v>
      </c>
      <c r="M41" s="67">
        <f>L41*0.85</f>
        <v>455324.05599999998</v>
      </c>
      <c r="N41" s="67">
        <f>L41-M41</f>
        <v>80351.304000000004</v>
      </c>
      <c r="O41" s="65">
        <v>0</v>
      </c>
      <c r="P41" s="84">
        <f t="shared" si="0"/>
        <v>1</v>
      </c>
      <c r="Q41" s="73"/>
      <c r="R41" s="73"/>
    </row>
    <row r="42" spans="1:18" customFormat="1" x14ac:dyDescent="0.3">
      <c r="A42" s="18" t="s">
        <v>7</v>
      </c>
      <c r="B42" s="18" t="s">
        <v>5</v>
      </c>
      <c r="C42" s="18">
        <v>618805</v>
      </c>
      <c r="D42" s="18" t="s">
        <v>54</v>
      </c>
      <c r="E42" s="116" t="s">
        <v>56</v>
      </c>
      <c r="F42" s="12" t="s">
        <v>692</v>
      </c>
      <c r="G42" s="12" t="s">
        <v>692</v>
      </c>
      <c r="H42" s="12" t="s">
        <v>692</v>
      </c>
      <c r="I42" s="12" t="s">
        <v>692</v>
      </c>
      <c r="J42" s="82">
        <v>26910</v>
      </c>
      <c r="K42" s="82">
        <v>0</v>
      </c>
      <c r="L42" s="82">
        <v>26910</v>
      </c>
      <c r="M42" s="67">
        <v>22873.5</v>
      </c>
      <c r="N42" s="67">
        <v>4036.5</v>
      </c>
      <c r="O42" s="65">
        <v>0</v>
      </c>
      <c r="P42" s="84">
        <f t="shared" si="0"/>
        <v>1</v>
      </c>
      <c r="Q42" s="73"/>
      <c r="R42" s="73"/>
    </row>
    <row r="43" spans="1:18" customFormat="1" x14ac:dyDescent="0.3">
      <c r="A43" s="18" t="s">
        <v>7</v>
      </c>
      <c r="B43" s="18" t="s">
        <v>5</v>
      </c>
      <c r="C43" s="18">
        <v>618805</v>
      </c>
      <c r="D43" s="18" t="s">
        <v>54</v>
      </c>
      <c r="E43" s="116" t="s">
        <v>57</v>
      </c>
      <c r="F43" s="12" t="s">
        <v>692</v>
      </c>
      <c r="G43" s="12" t="s">
        <v>692</v>
      </c>
      <c r="H43" s="12" t="s">
        <v>692</v>
      </c>
      <c r="I43" s="12" t="s">
        <v>692</v>
      </c>
      <c r="J43" s="82">
        <v>49322.539999999994</v>
      </c>
      <c r="K43" s="82">
        <v>0</v>
      </c>
      <c r="L43" s="82">
        <v>49322.539999999994</v>
      </c>
      <c r="M43" s="67">
        <v>41924.158999999992</v>
      </c>
      <c r="N43" s="67">
        <v>7398.3810000000012</v>
      </c>
      <c r="O43" s="65">
        <v>0</v>
      </c>
      <c r="P43" s="84">
        <f t="shared" si="0"/>
        <v>1</v>
      </c>
      <c r="Q43" s="73"/>
      <c r="R43" s="73"/>
    </row>
    <row r="44" spans="1:18" customFormat="1" x14ac:dyDescent="0.3">
      <c r="A44" s="18" t="s">
        <v>7</v>
      </c>
      <c r="B44" s="18" t="s">
        <v>5</v>
      </c>
      <c r="C44" s="18">
        <v>566950</v>
      </c>
      <c r="D44" s="18" t="s">
        <v>58</v>
      </c>
      <c r="E44" s="116" t="s">
        <v>59</v>
      </c>
      <c r="F44" s="12" t="s">
        <v>692</v>
      </c>
      <c r="G44" s="12" t="s">
        <v>692</v>
      </c>
      <c r="H44" s="12" t="s">
        <v>692</v>
      </c>
      <c r="I44" s="12" t="s">
        <v>692</v>
      </c>
      <c r="J44" s="82">
        <v>725527.33000000007</v>
      </c>
      <c r="K44" s="82">
        <v>0</v>
      </c>
      <c r="L44" s="82">
        <v>725527.33000000007</v>
      </c>
      <c r="M44" s="67">
        <v>616698.23050000006</v>
      </c>
      <c r="N44" s="67">
        <v>108829.09950000001</v>
      </c>
      <c r="O44" s="65">
        <v>0</v>
      </c>
      <c r="P44" s="84">
        <f t="shared" si="0"/>
        <v>1</v>
      </c>
      <c r="Q44" s="73"/>
      <c r="R44" s="73"/>
    </row>
    <row r="45" spans="1:18" customFormat="1" x14ac:dyDescent="0.3">
      <c r="A45" s="18" t="s">
        <v>7</v>
      </c>
      <c r="B45" s="18" t="s">
        <v>5</v>
      </c>
      <c r="C45" s="18">
        <v>566950</v>
      </c>
      <c r="D45" s="18" t="s">
        <v>58</v>
      </c>
      <c r="E45" s="116" t="s">
        <v>60</v>
      </c>
      <c r="F45" s="12" t="s">
        <v>692</v>
      </c>
      <c r="G45" s="12" t="s">
        <v>692</v>
      </c>
      <c r="H45" s="12" t="s">
        <v>692</v>
      </c>
      <c r="I45" s="12" t="s">
        <v>692</v>
      </c>
      <c r="J45" s="82">
        <v>30269.56</v>
      </c>
      <c r="K45" s="82">
        <v>0</v>
      </c>
      <c r="L45" s="82">
        <v>30269.56</v>
      </c>
      <c r="M45" s="67">
        <v>25729.126</v>
      </c>
      <c r="N45" s="67">
        <v>4540.4340000000011</v>
      </c>
      <c r="O45" s="65">
        <v>0</v>
      </c>
      <c r="P45" s="84">
        <f t="shared" si="0"/>
        <v>1</v>
      </c>
      <c r="Q45" s="73"/>
      <c r="R45" s="73"/>
    </row>
    <row r="46" spans="1:18" customFormat="1" ht="44.35" x14ac:dyDescent="0.3">
      <c r="A46" s="18" t="s">
        <v>7</v>
      </c>
      <c r="B46" s="18" t="s">
        <v>5</v>
      </c>
      <c r="C46" s="18">
        <v>566950</v>
      </c>
      <c r="D46" s="18" t="s">
        <v>58</v>
      </c>
      <c r="E46" s="116" t="s">
        <v>61</v>
      </c>
      <c r="F46" s="12" t="s">
        <v>692</v>
      </c>
      <c r="G46" s="12" t="s">
        <v>692</v>
      </c>
      <c r="H46" s="12" t="s">
        <v>692</v>
      </c>
      <c r="I46" s="12" t="s">
        <v>692</v>
      </c>
      <c r="J46" s="82">
        <v>43994.717400000001</v>
      </c>
      <c r="K46" s="82">
        <v>0</v>
      </c>
      <c r="L46" s="82">
        <v>43994.717400000001</v>
      </c>
      <c r="M46" s="67">
        <v>37395.509790000004</v>
      </c>
      <c r="N46" s="67">
        <v>6599.2076099999977</v>
      </c>
      <c r="O46" s="65">
        <v>0</v>
      </c>
      <c r="P46" s="84">
        <f t="shared" si="0"/>
        <v>1</v>
      </c>
      <c r="Q46" s="73"/>
      <c r="R46" s="73"/>
    </row>
    <row r="47" spans="1:18" customFormat="1" x14ac:dyDescent="0.3">
      <c r="A47" s="18" t="s">
        <v>7</v>
      </c>
      <c r="B47" s="18" t="s">
        <v>5</v>
      </c>
      <c r="C47" s="18">
        <v>566950</v>
      </c>
      <c r="D47" s="18" t="s">
        <v>58</v>
      </c>
      <c r="E47" s="116" t="s">
        <v>62</v>
      </c>
      <c r="F47" s="12" t="s">
        <v>692</v>
      </c>
      <c r="G47" s="12" t="s">
        <v>692</v>
      </c>
      <c r="H47" s="12" t="s">
        <v>692</v>
      </c>
      <c r="I47" s="12" t="s">
        <v>692</v>
      </c>
      <c r="J47" s="82">
        <v>329401.65000000002</v>
      </c>
      <c r="K47" s="82">
        <v>0</v>
      </c>
      <c r="L47" s="82">
        <v>329401.65000000002</v>
      </c>
      <c r="M47" s="67">
        <v>279991.40250000003</v>
      </c>
      <c r="N47" s="67">
        <v>49410.247499999998</v>
      </c>
      <c r="O47" s="65">
        <v>0</v>
      </c>
      <c r="P47" s="84">
        <f t="shared" si="0"/>
        <v>1</v>
      </c>
      <c r="Q47" s="73"/>
      <c r="R47" s="73"/>
    </row>
    <row r="48" spans="1:18" customFormat="1" x14ac:dyDescent="0.3">
      <c r="A48" s="18" t="s">
        <v>7</v>
      </c>
      <c r="B48" s="18" t="s">
        <v>5</v>
      </c>
      <c r="C48" s="18">
        <v>566950</v>
      </c>
      <c r="D48" s="18" t="s">
        <v>58</v>
      </c>
      <c r="E48" s="116" t="s">
        <v>63</v>
      </c>
      <c r="F48" s="12" t="s">
        <v>692</v>
      </c>
      <c r="G48" s="12" t="s">
        <v>692</v>
      </c>
      <c r="H48" s="12" t="s">
        <v>692</v>
      </c>
      <c r="I48" s="12" t="s">
        <v>692</v>
      </c>
      <c r="J48" s="82">
        <v>34456.170111742002</v>
      </c>
      <c r="K48" s="82">
        <v>0</v>
      </c>
      <c r="L48" s="82">
        <v>34456.170111742002</v>
      </c>
      <c r="M48" s="67">
        <v>29287.744594980701</v>
      </c>
      <c r="N48" s="67">
        <v>5168.425516761301</v>
      </c>
      <c r="O48" s="65">
        <v>0</v>
      </c>
      <c r="P48" s="84">
        <f t="shared" si="0"/>
        <v>1</v>
      </c>
      <c r="Q48" s="73"/>
      <c r="R48" s="73"/>
    </row>
    <row r="49" spans="1:18" customFormat="1" x14ac:dyDescent="0.3">
      <c r="A49" s="18" t="s">
        <v>7</v>
      </c>
      <c r="B49" s="18" t="s">
        <v>5</v>
      </c>
      <c r="C49" s="18">
        <v>566950</v>
      </c>
      <c r="D49" s="18" t="s">
        <v>58</v>
      </c>
      <c r="E49" s="116" t="s">
        <v>64</v>
      </c>
      <c r="F49" s="18" t="s">
        <v>692</v>
      </c>
      <c r="G49" s="18" t="s">
        <v>692</v>
      </c>
      <c r="H49" s="18" t="s">
        <v>692</v>
      </c>
      <c r="I49" s="18" t="s">
        <v>692</v>
      </c>
      <c r="J49" s="82">
        <v>69319.396576961997</v>
      </c>
      <c r="K49" s="82">
        <v>0</v>
      </c>
      <c r="L49" s="82">
        <v>69319.396576961997</v>
      </c>
      <c r="M49" s="67">
        <v>58921.487090417693</v>
      </c>
      <c r="N49" s="67">
        <v>10397.909486544304</v>
      </c>
      <c r="O49" s="65">
        <v>0</v>
      </c>
      <c r="P49" s="84">
        <f t="shared" si="0"/>
        <v>1</v>
      </c>
      <c r="Q49" s="73"/>
      <c r="R49" s="73"/>
    </row>
    <row r="50" spans="1:18" customFormat="1" ht="15.4" x14ac:dyDescent="0.3">
      <c r="A50" s="18" t="s">
        <v>7</v>
      </c>
      <c r="B50" s="18" t="s">
        <v>5</v>
      </c>
      <c r="C50" s="18">
        <v>566950</v>
      </c>
      <c r="D50" s="18" t="s">
        <v>58</v>
      </c>
      <c r="E50" s="131" t="s">
        <v>717</v>
      </c>
      <c r="F50" s="18" t="s">
        <v>692</v>
      </c>
      <c r="G50" s="18">
        <v>3286</v>
      </c>
      <c r="H50" s="18">
        <v>581757</v>
      </c>
      <c r="I50" s="119">
        <v>1100446</v>
      </c>
      <c r="J50" s="82">
        <v>120440.35</v>
      </c>
      <c r="K50" s="82">
        <v>30362.954998268004</v>
      </c>
      <c r="L50" s="82">
        <v>90077.395001732002</v>
      </c>
      <c r="M50" s="67">
        <v>90077.395001732002</v>
      </c>
      <c r="N50" s="65">
        <v>0</v>
      </c>
      <c r="O50" s="65">
        <v>0</v>
      </c>
      <c r="P50" s="84">
        <f t="shared" si="0"/>
        <v>0.74790047522887471</v>
      </c>
      <c r="Q50" s="73"/>
      <c r="R50" s="73"/>
    </row>
    <row r="51" spans="1:18" customFormat="1" ht="29.55" x14ac:dyDescent="0.3">
      <c r="A51" s="18" t="s">
        <v>7</v>
      </c>
      <c r="B51" s="18" t="s">
        <v>5</v>
      </c>
      <c r="C51" s="18">
        <v>566950</v>
      </c>
      <c r="D51" s="18" t="s">
        <v>58</v>
      </c>
      <c r="E51" s="131" t="s">
        <v>718</v>
      </c>
      <c r="F51" s="12" t="s">
        <v>692</v>
      </c>
      <c r="G51" s="12">
        <v>3286</v>
      </c>
      <c r="H51" s="12">
        <v>581758</v>
      </c>
      <c r="I51" s="12" t="s">
        <v>692</v>
      </c>
      <c r="J51" s="82">
        <v>30000</v>
      </c>
      <c r="K51" s="82">
        <v>7562.6941260000021</v>
      </c>
      <c r="L51" s="82">
        <v>22437.305873999998</v>
      </c>
      <c r="M51" s="67">
        <v>22437.305873999998</v>
      </c>
      <c r="N51" s="65">
        <v>0</v>
      </c>
      <c r="O51" s="65">
        <v>0</v>
      </c>
      <c r="P51" s="84">
        <f t="shared" si="0"/>
        <v>0.74791019579999996</v>
      </c>
      <c r="Q51" s="73"/>
      <c r="R51" s="73"/>
    </row>
    <row r="52" spans="1:18" customFormat="1" x14ac:dyDescent="0.3">
      <c r="A52" s="18" t="s">
        <v>7</v>
      </c>
      <c r="B52" s="18" t="s">
        <v>5</v>
      </c>
      <c r="C52" s="18">
        <v>566950</v>
      </c>
      <c r="D52" s="18" t="s">
        <v>58</v>
      </c>
      <c r="E52" s="116" t="s">
        <v>67</v>
      </c>
      <c r="F52" s="12" t="s">
        <v>692</v>
      </c>
      <c r="G52" s="12" t="s">
        <v>692</v>
      </c>
      <c r="H52" s="12" t="s">
        <v>692</v>
      </c>
      <c r="I52" s="12" t="s">
        <v>692</v>
      </c>
      <c r="J52" s="82">
        <v>35714.911585319998</v>
      </c>
      <c r="K52" s="82">
        <v>0</v>
      </c>
      <c r="L52" s="82">
        <v>35714.911585319998</v>
      </c>
      <c r="M52" s="67">
        <v>30357.674847521997</v>
      </c>
      <c r="N52" s="67">
        <v>5357.2367377980008</v>
      </c>
      <c r="O52" s="65">
        <v>0</v>
      </c>
      <c r="P52" s="84">
        <f t="shared" si="0"/>
        <v>1</v>
      </c>
      <c r="Q52" s="73"/>
      <c r="R52" s="73"/>
    </row>
    <row r="53" spans="1:18" customFormat="1" ht="29.55" x14ac:dyDescent="0.3">
      <c r="A53" s="18" t="s">
        <v>7</v>
      </c>
      <c r="B53" s="18" t="s">
        <v>5</v>
      </c>
      <c r="C53" s="18">
        <v>566950</v>
      </c>
      <c r="D53" s="18" t="s">
        <v>58</v>
      </c>
      <c r="E53" s="116" t="s">
        <v>68</v>
      </c>
      <c r="F53" s="18" t="s">
        <v>692</v>
      </c>
      <c r="G53" s="18">
        <v>3286</v>
      </c>
      <c r="H53" s="18">
        <v>581759</v>
      </c>
      <c r="I53" s="18" t="s">
        <v>692</v>
      </c>
      <c r="J53" s="82">
        <v>37146</v>
      </c>
      <c r="K53" s="82">
        <v>9364.1278668131999</v>
      </c>
      <c r="L53" s="82">
        <v>27781.8721331868</v>
      </c>
      <c r="M53" s="67">
        <v>27781.8721331868</v>
      </c>
      <c r="N53" s="65">
        <v>0</v>
      </c>
      <c r="O53" s="65">
        <v>0</v>
      </c>
      <c r="P53" s="84">
        <f t="shared" si="0"/>
        <v>0.74791019579999996</v>
      </c>
      <c r="Q53" s="73"/>
      <c r="R53" s="73"/>
    </row>
    <row r="54" spans="1:18" customFormat="1" ht="29.55" x14ac:dyDescent="0.3">
      <c r="A54" s="18" t="s">
        <v>7</v>
      </c>
      <c r="B54" s="18" t="s">
        <v>5</v>
      </c>
      <c r="C54" s="18">
        <v>637541</v>
      </c>
      <c r="D54" s="18" t="s">
        <v>69</v>
      </c>
      <c r="E54" s="131" t="s">
        <v>70</v>
      </c>
      <c r="F54" s="18" t="s">
        <v>692</v>
      </c>
      <c r="G54" s="18" t="s">
        <v>692</v>
      </c>
      <c r="H54" s="18" t="s">
        <v>692</v>
      </c>
      <c r="I54" s="18" t="s">
        <v>692</v>
      </c>
      <c r="J54" s="82">
        <v>324056.27</v>
      </c>
      <c r="K54" s="82">
        <v>0</v>
      </c>
      <c r="L54" s="82">
        <v>324056.27</v>
      </c>
      <c r="M54" s="67">
        <v>275447.82949999999</v>
      </c>
      <c r="N54" s="67">
        <v>48608.440500000026</v>
      </c>
      <c r="O54" s="65">
        <v>0</v>
      </c>
      <c r="P54" s="84">
        <f t="shared" si="0"/>
        <v>1</v>
      </c>
      <c r="Q54" s="73"/>
      <c r="R54" s="73"/>
    </row>
    <row r="55" spans="1:18" customFormat="1" x14ac:dyDescent="0.3">
      <c r="A55" s="18" t="s">
        <v>7</v>
      </c>
      <c r="B55" s="18" t="s">
        <v>5</v>
      </c>
      <c r="C55" s="18">
        <v>637541</v>
      </c>
      <c r="D55" s="18" t="s">
        <v>69</v>
      </c>
      <c r="E55" s="131" t="s">
        <v>71</v>
      </c>
      <c r="F55" s="18" t="s">
        <v>692</v>
      </c>
      <c r="G55" s="18">
        <v>3286</v>
      </c>
      <c r="H55" s="18">
        <v>581760</v>
      </c>
      <c r="I55" s="18">
        <v>864881</v>
      </c>
      <c r="J55" s="82">
        <v>143669.80000000002</v>
      </c>
      <c r="K55" s="82">
        <v>36219.140000000014</v>
      </c>
      <c r="L55" s="82">
        <v>107450.66</v>
      </c>
      <c r="M55" s="67">
        <v>107450.66</v>
      </c>
      <c r="N55" s="65">
        <v>0</v>
      </c>
      <c r="O55" s="65">
        <v>0</v>
      </c>
      <c r="P55" s="84">
        <f t="shared" si="0"/>
        <v>0.74790011540351553</v>
      </c>
      <c r="Q55" s="73"/>
      <c r="R55" s="73"/>
    </row>
    <row r="56" spans="1:18" customFormat="1" ht="29.55" x14ac:dyDescent="0.3">
      <c r="A56" s="18" t="s">
        <v>7</v>
      </c>
      <c r="B56" s="18" t="s">
        <v>5</v>
      </c>
      <c r="C56" s="18">
        <v>637541</v>
      </c>
      <c r="D56" s="18" t="s">
        <v>69</v>
      </c>
      <c r="E56" s="131" t="s">
        <v>72</v>
      </c>
      <c r="F56" s="18" t="s">
        <v>692</v>
      </c>
      <c r="G56" s="18" t="s">
        <v>692</v>
      </c>
      <c r="H56" s="18" t="s">
        <v>692</v>
      </c>
      <c r="I56" s="18" t="s">
        <v>692</v>
      </c>
      <c r="J56" s="82">
        <v>81738.73000000001</v>
      </c>
      <c r="K56" s="82">
        <v>0</v>
      </c>
      <c r="L56" s="82">
        <v>81738.73000000001</v>
      </c>
      <c r="M56" s="67">
        <v>69477.920500000007</v>
      </c>
      <c r="N56" s="67">
        <v>12260.809500000003</v>
      </c>
      <c r="O56" s="65">
        <v>0</v>
      </c>
      <c r="P56" s="84">
        <f t="shared" si="0"/>
        <v>1</v>
      </c>
      <c r="Q56" s="73"/>
      <c r="R56" s="73"/>
    </row>
    <row r="57" spans="1:18" customFormat="1" x14ac:dyDescent="0.3">
      <c r="A57" s="18" t="s">
        <v>7</v>
      </c>
      <c r="B57" s="18" t="s">
        <v>5</v>
      </c>
      <c r="C57" s="18">
        <v>637541</v>
      </c>
      <c r="D57" s="18" t="s">
        <v>69</v>
      </c>
      <c r="E57" s="131" t="s">
        <v>73</v>
      </c>
      <c r="F57" s="18" t="s">
        <v>692</v>
      </c>
      <c r="G57" s="18">
        <v>3286</v>
      </c>
      <c r="H57" s="18">
        <v>581761</v>
      </c>
      <c r="I57" s="18" t="s">
        <v>692</v>
      </c>
      <c r="J57" s="82">
        <v>150000</v>
      </c>
      <c r="K57" s="82">
        <v>37813.470630000003</v>
      </c>
      <c r="L57" s="82">
        <v>112186.52937</v>
      </c>
      <c r="M57" s="67">
        <v>112186.52937</v>
      </c>
      <c r="N57" s="65">
        <v>0</v>
      </c>
      <c r="O57" s="65">
        <v>0</v>
      </c>
      <c r="P57" s="84">
        <f t="shared" si="0"/>
        <v>0.74791019580000007</v>
      </c>
      <c r="Q57" s="73"/>
      <c r="R57" s="73"/>
    </row>
    <row r="58" spans="1:18" customFormat="1" x14ac:dyDescent="0.3">
      <c r="A58" s="18" t="s">
        <v>7</v>
      </c>
      <c r="B58" s="18" t="s">
        <v>5</v>
      </c>
      <c r="C58" s="18">
        <v>637541</v>
      </c>
      <c r="D58" s="18" t="s">
        <v>69</v>
      </c>
      <c r="E58" s="131" t="s">
        <v>74</v>
      </c>
      <c r="F58" s="18" t="s">
        <v>692</v>
      </c>
      <c r="G58" s="18">
        <v>3286</v>
      </c>
      <c r="H58" s="18">
        <v>581762</v>
      </c>
      <c r="I58" s="18" t="s">
        <v>692</v>
      </c>
      <c r="J58" s="82">
        <v>40000</v>
      </c>
      <c r="K58" s="82">
        <v>10083.592167999999</v>
      </c>
      <c r="L58" s="82">
        <v>29916.407832000001</v>
      </c>
      <c r="M58" s="67">
        <v>29916.407832000001</v>
      </c>
      <c r="N58" s="65">
        <v>0</v>
      </c>
      <c r="O58" s="65">
        <v>0</v>
      </c>
      <c r="P58" s="84">
        <f t="shared" si="0"/>
        <v>0.74791019580000007</v>
      </c>
      <c r="Q58" s="73"/>
      <c r="R58" s="73"/>
    </row>
    <row r="59" spans="1:18" customFormat="1" ht="29.55" x14ac:dyDescent="0.3">
      <c r="A59" s="18" t="s">
        <v>7</v>
      </c>
      <c r="B59" s="18" t="s">
        <v>5</v>
      </c>
      <c r="C59" s="18">
        <v>475998</v>
      </c>
      <c r="D59" s="18" t="s">
        <v>75</v>
      </c>
      <c r="E59" s="131" t="s">
        <v>41</v>
      </c>
      <c r="F59" s="18" t="s">
        <v>692</v>
      </c>
      <c r="G59" s="18" t="s">
        <v>692</v>
      </c>
      <c r="H59" s="18" t="s">
        <v>692</v>
      </c>
      <c r="I59" s="18" t="s">
        <v>692</v>
      </c>
      <c r="J59" s="82">
        <v>734152.53</v>
      </c>
      <c r="K59" s="82">
        <v>0</v>
      </c>
      <c r="L59" s="82">
        <v>734152.53</v>
      </c>
      <c r="M59" s="67">
        <v>624029.65049999999</v>
      </c>
      <c r="N59" s="67">
        <v>110122.87950000004</v>
      </c>
      <c r="O59" s="65">
        <v>0</v>
      </c>
      <c r="P59" s="84">
        <f t="shared" si="0"/>
        <v>1</v>
      </c>
      <c r="Q59" s="73"/>
      <c r="R59" s="73"/>
    </row>
    <row r="60" spans="1:18" customFormat="1" x14ac:dyDescent="0.3">
      <c r="A60" s="18" t="s">
        <v>7</v>
      </c>
      <c r="B60" s="18" t="s">
        <v>5</v>
      </c>
      <c r="C60" s="18">
        <v>475998</v>
      </c>
      <c r="D60" s="18" t="s">
        <v>75</v>
      </c>
      <c r="E60" s="131" t="s">
        <v>76</v>
      </c>
      <c r="F60" s="18" t="s">
        <v>692</v>
      </c>
      <c r="G60" s="18" t="s">
        <v>692</v>
      </c>
      <c r="H60" s="18" t="s">
        <v>692</v>
      </c>
      <c r="I60" s="18" t="s">
        <v>692</v>
      </c>
      <c r="J60" s="82">
        <v>272864.61000000004</v>
      </c>
      <c r="K60" s="82">
        <v>0</v>
      </c>
      <c r="L60" s="82">
        <v>272864.61000000004</v>
      </c>
      <c r="M60" s="67">
        <v>231934.91850000003</v>
      </c>
      <c r="N60" s="67">
        <v>40929.691500000015</v>
      </c>
      <c r="O60" s="65">
        <v>0</v>
      </c>
      <c r="P60" s="84">
        <f t="shared" si="0"/>
        <v>1</v>
      </c>
      <c r="Q60" s="73"/>
      <c r="R60" s="73"/>
    </row>
    <row r="61" spans="1:18" customFormat="1" ht="29.55" x14ac:dyDescent="0.3">
      <c r="A61" s="18" t="s">
        <v>7</v>
      </c>
      <c r="B61" s="18" t="s">
        <v>5</v>
      </c>
      <c r="C61" s="18">
        <v>546749</v>
      </c>
      <c r="D61" s="18" t="s">
        <v>77</v>
      </c>
      <c r="E61" s="131" t="s">
        <v>78</v>
      </c>
      <c r="F61" s="18" t="s">
        <v>692</v>
      </c>
      <c r="G61" s="18" t="s">
        <v>692</v>
      </c>
      <c r="H61" s="18" t="s">
        <v>692</v>
      </c>
      <c r="I61" s="18" t="s">
        <v>692</v>
      </c>
      <c r="J61" s="82">
        <v>120582.20118799999</v>
      </c>
      <c r="K61" s="82">
        <v>0</v>
      </c>
      <c r="L61" s="82">
        <v>120582.20118799999</v>
      </c>
      <c r="M61" s="67">
        <v>102494.87100979999</v>
      </c>
      <c r="N61" s="67">
        <v>18087.330178200005</v>
      </c>
      <c r="O61" s="65">
        <v>0</v>
      </c>
      <c r="P61" s="84">
        <f t="shared" si="0"/>
        <v>1</v>
      </c>
      <c r="Q61" s="73"/>
      <c r="R61" s="73"/>
    </row>
    <row r="62" spans="1:18" customFormat="1" x14ac:dyDescent="0.3">
      <c r="A62" s="18" t="s">
        <v>7</v>
      </c>
      <c r="B62" s="18" t="s">
        <v>5</v>
      </c>
      <c r="C62" s="18">
        <v>546749</v>
      </c>
      <c r="D62" s="18" t="s">
        <v>77</v>
      </c>
      <c r="E62" s="131" t="s">
        <v>79</v>
      </c>
      <c r="F62" s="18" t="s">
        <v>692</v>
      </c>
      <c r="G62" s="18">
        <v>3286</v>
      </c>
      <c r="H62" s="18">
        <v>581763</v>
      </c>
      <c r="I62" s="18">
        <v>749843</v>
      </c>
      <c r="J62" s="82">
        <v>168616.51</v>
      </c>
      <c r="K62" s="82">
        <v>63450.430000000008</v>
      </c>
      <c r="L62" s="82">
        <v>105166.08</v>
      </c>
      <c r="M62" s="67">
        <v>105166.08</v>
      </c>
      <c r="N62" s="65">
        <v>0</v>
      </c>
      <c r="O62" s="65">
        <v>0</v>
      </c>
      <c r="P62" s="84">
        <f t="shared" si="0"/>
        <v>0.62369977886507078</v>
      </c>
      <c r="Q62" s="73"/>
      <c r="R62" s="73"/>
    </row>
    <row r="63" spans="1:18" customFormat="1" ht="29.55" x14ac:dyDescent="0.3">
      <c r="A63" s="18" t="s">
        <v>7</v>
      </c>
      <c r="B63" s="18" t="s">
        <v>5</v>
      </c>
      <c r="C63" s="18">
        <v>523858</v>
      </c>
      <c r="D63" s="18" t="s">
        <v>80</v>
      </c>
      <c r="E63" s="131" t="s">
        <v>81</v>
      </c>
      <c r="F63" s="18" t="s">
        <v>692</v>
      </c>
      <c r="G63" s="18" t="s">
        <v>692</v>
      </c>
      <c r="H63" s="18" t="s">
        <v>692</v>
      </c>
      <c r="I63" s="18" t="s">
        <v>692</v>
      </c>
      <c r="J63" s="82">
        <f>645840.5772-5768.76</f>
        <v>640071.81720000005</v>
      </c>
      <c r="K63" s="82">
        <v>0</v>
      </c>
      <c r="L63" s="82">
        <f>645840.5772-5768.76</f>
        <v>640071.81720000005</v>
      </c>
      <c r="M63" s="67">
        <v>544061.04</v>
      </c>
      <c r="N63" s="67">
        <f>L63-M63</f>
        <v>96010.777200000011</v>
      </c>
      <c r="O63" s="65">
        <v>0</v>
      </c>
      <c r="P63" s="84">
        <f t="shared" si="0"/>
        <v>1</v>
      </c>
      <c r="Q63" s="73"/>
      <c r="R63" s="73"/>
    </row>
    <row r="64" spans="1:18" customFormat="1" ht="29.55" x14ac:dyDescent="0.3">
      <c r="A64" s="18" t="s">
        <v>7</v>
      </c>
      <c r="B64" s="18" t="s">
        <v>5</v>
      </c>
      <c r="C64" s="18">
        <v>523858</v>
      </c>
      <c r="D64" s="18" t="s">
        <v>80</v>
      </c>
      <c r="E64" s="131" t="s">
        <v>82</v>
      </c>
      <c r="F64" s="18" t="s">
        <v>692</v>
      </c>
      <c r="G64" s="18" t="s">
        <v>692</v>
      </c>
      <c r="H64" s="18" t="s">
        <v>692</v>
      </c>
      <c r="I64" s="18" t="s">
        <v>692</v>
      </c>
      <c r="J64" s="82">
        <f>43006.6049-2762.78</f>
        <v>40243.8249</v>
      </c>
      <c r="K64" s="82">
        <v>0</v>
      </c>
      <c r="L64" s="82">
        <f>43006.6049-2762.78</f>
        <v>40243.8249</v>
      </c>
      <c r="M64" s="67">
        <f t="shared" ref="M64:M65" si="3">L64*0.85</f>
        <v>34207.251165000001</v>
      </c>
      <c r="N64" s="67">
        <f>L64-M64</f>
        <v>6036.5737349999981</v>
      </c>
      <c r="O64" s="65">
        <v>0</v>
      </c>
      <c r="P64" s="84">
        <f t="shared" si="0"/>
        <v>1</v>
      </c>
      <c r="Q64" s="73"/>
      <c r="R64" s="73"/>
    </row>
    <row r="65" spans="1:18" customFormat="1" x14ac:dyDescent="0.3">
      <c r="A65" s="18" t="s">
        <v>7</v>
      </c>
      <c r="B65" s="18" t="s">
        <v>5</v>
      </c>
      <c r="C65" s="18">
        <v>523858</v>
      </c>
      <c r="D65" s="18" t="s">
        <v>80</v>
      </c>
      <c r="E65" s="131" t="s">
        <v>83</v>
      </c>
      <c r="F65" s="18" t="s">
        <v>692</v>
      </c>
      <c r="G65" s="18" t="s">
        <v>692</v>
      </c>
      <c r="H65" s="18" t="s">
        <v>692</v>
      </c>
      <c r="I65" s="18" t="s">
        <v>692</v>
      </c>
      <c r="J65" s="82">
        <f>214927.1004-15687.9</f>
        <v>199239.2004</v>
      </c>
      <c r="K65" s="82">
        <v>0</v>
      </c>
      <c r="L65" s="82">
        <f>214927.1004-15687.9</f>
        <v>199239.2004</v>
      </c>
      <c r="M65" s="67">
        <f t="shared" si="3"/>
        <v>169353.32034000001</v>
      </c>
      <c r="N65" s="67">
        <f>L65-M65</f>
        <v>29885.880059999996</v>
      </c>
      <c r="O65" s="65">
        <v>0</v>
      </c>
      <c r="P65" s="84">
        <f t="shared" si="0"/>
        <v>1</v>
      </c>
      <c r="Q65" s="73"/>
      <c r="R65" s="73"/>
    </row>
    <row r="66" spans="1:18" customFormat="1" x14ac:dyDescent="0.3">
      <c r="A66" s="18" t="s">
        <v>7</v>
      </c>
      <c r="B66" s="18" t="s">
        <v>5</v>
      </c>
      <c r="C66" s="18">
        <v>613474</v>
      </c>
      <c r="D66" s="18" t="s">
        <v>84</v>
      </c>
      <c r="E66" s="131" t="s">
        <v>85</v>
      </c>
      <c r="F66" s="18" t="s">
        <v>692</v>
      </c>
      <c r="G66" s="18" t="s">
        <v>692</v>
      </c>
      <c r="H66" s="18" t="s">
        <v>692</v>
      </c>
      <c r="I66" s="18" t="s">
        <v>692</v>
      </c>
      <c r="J66" s="82">
        <f>435741.364-14.4</f>
        <v>435726.96399999998</v>
      </c>
      <c r="K66" s="82">
        <v>0</v>
      </c>
      <c r="L66" s="82">
        <f>435741.364-14.4</f>
        <v>435726.96399999998</v>
      </c>
      <c r="M66" s="67">
        <f>L66*0.85</f>
        <v>370367.91939999996</v>
      </c>
      <c r="N66" s="67">
        <f>L66-M66</f>
        <v>65359.044600000023</v>
      </c>
      <c r="O66" s="65">
        <v>0</v>
      </c>
      <c r="P66" s="84">
        <f t="shared" si="0"/>
        <v>1</v>
      </c>
      <c r="Q66" s="73"/>
      <c r="R66" s="73"/>
    </row>
    <row r="67" spans="1:18" customFormat="1" ht="44.35" x14ac:dyDescent="0.3">
      <c r="A67" s="18" t="s">
        <v>7</v>
      </c>
      <c r="B67" s="18" t="s">
        <v>5</v>
      </c>
      <c r="C67" s="18">
        <v>613474</v>
      </c>
      <c r="D67" s="18" t="s">
        <v>84</v>
      </c>
      <c r="E67" s="131" t="s">
        <v>38</v>
      </c>
      <c r="F67" s="18" t="s">
        <v>692</v>
      </c>
      <c r="G67" s="18" t="s">
        <v>692</v>
      </c>
      <c r="H67" s="18" t="s">
        <v>692</v>
      </c>
      <c r="I67" s="18" t="s">
        <v>692</v>
      </c>
      <c r="J67" s="82">
        <v>367104.79188799998</v>
      </c>
      <c r="K67" s="82">
        <v>0</v>
      </c>
      <c r="L67" s="82">
        <v>367104.79188799998</v>
      </c>
      <c r="M67" s="67">
        <v>312039.07310479996</v>
      </c>
      <c r="N67" s="67">
        <v>55065.71878320002</v>
      </c>
      <c r="O67" s="65">
        <v>0</v>
      </c>
      <c r="P67" s="84">
        <f t="shared" ref="P67:P130" si="4">L67/J67</f>
        <v>1</v>
      </c>
      <c r="Q67" s="73"/>
      <c r="R67" s="73"/>
    </row>
    <row r="68" spans="1:18" customFormat="1" x14ac:dyDescent="0.3">
      <c r="A68" s="18" t="s">
        <v>7</v>
      </c>
      <c r="B68" s="18" t="s">
        <v>5</v>
      </c>
      <c r="C68" s="18">
        <v>613474</v>
      </c>
      <c r="D68" s="18" t="s">
        <v>84</v>
      </c>
      <c r="E68" s="131" t="s">
        <v>86</v>
      </c>
      <c r="F68" s="18" t="s">
        <v>692</v>
      </c>
      <c r="G68" s="18" t="s">
        <v>692</v>
      </c>
      <c r="H68" s="18" t="s">
        <v>692</v>
      </c>
      <c r="I68" s="18" t="s">
        <v>692</v>
      </c>
      <c r="J68" s="82">
        <v>168594.36815999998</v>
      </c>
      <c r="K68" s="82">
        <v>0</v>
      </c>
      <c r="L68" s="82">
        <v>168594.36815999998</v>
      </c>
      <c r="M68" s="67">
        <v>143305.212936</v>
      </c>
      <c r="N68" s="67">
        <v>25289.155223999987</v>
      </c>
      <c r="O68" s="65">
        <v>0</v>
      </c>
      <c r="P68" s="84">
        <f t="shared" si="4"/>
        <v>1</v>
      </c>
      <c r="Q68" s="73"/>
      <c r="R68" s="73"/>
    </row>
    <row r="69" spans="1:18" customFormat="1" ht="29.55" x14ac:dyDescent="0.3">
      <c r="A69" s="18" t="s">
        <v>7</v>
      </c>
      <c r="B69" s="18" t="s">
        <v>5</v>
      </c>
      <c r="C69" s="18">
        <v>613474</v>
      </c>
      <c r="D69" s="18" t="s">
        <v>84</v>
      </c>
      <c r="E69" s="131" t="s">
        <v>87</v>
      </c>
      <c r="F69" s="18" t="s">
        <v>692</v>
      </c>
      <c r="G69" s="18" t="s">
        <v>692</v>
      </c>
      <c r="H69" s="18" t="s">
        <v>692</v>
      </c>
      <c r="I69" s="18" t="s">
        <v>692</v>
      </c>
      <c r="J69" s="82">
        <v>153913.629552</v>
      </c>
      <c r="K69" s="82">
        <v>0</v>
      </c>
      <c r="L69" s="82">
        <v>153913.629552</v>
      </c>
      <c r="M69" s="67">
        <v>130826.5851192</v>
      </c>
      <c r="N69" s="67">
        <v>23087.044432800001</v>
      </c>
      <c r="O69" s="65">
        <v>0</v>
      </c>
      <c r="P69" s="84">
        <f t="shared" si="4"/>
        <v>1</v>
      </c>
      <c r="Q69" s="73"/>
      <c r="R69" s="73"/>
    </row>
    <row r="70" spans="1:18" customFormat="1" ht="29.55" x14ac:dyDescent="0.3">
      <c r="A70" s="18" t="s">
        <v>7</v>
      </c>
      <c r="B70" s="18" t="s">
        <v>5</v>
      </c>
      <c r="C70" s="18">
        <v>613474</v>
      </c>
      <c r="D70" s="18" t="s">
        <v>84</v>
      </c>
      <c r="E70" s="131" t="s">
        <v>88</v>
      </c>
      <c r="F70" s="18" t="s">
        <v>692</v>
      </c>
      <c r="G70" s="18" t="s">
        <v>692</v>
      </c>
      <c r="H70" s="18" t="s">
        <v>692</v>
      </c>
      <c r="I70" s="18" t="s">
        <v>692</v>
      </c>
      <c r="J70" s="82">
        <v>5614.1628000000001</v>
      </c>
      <c r="K70" s="82">
        <v>0</v>
      </c>
      <c r="L70" s="82">
        <v>5614.1628000000001</v>
      </c>
      <c r="M70" s="67">
        <v>4772.03838</v>
      </c>
      <c r="N70" s="67">
        <v>842.1244200000001</v>
      </c>
      <c r="O70" s="65">
        <v>0</v>
      </c>
      <c r="P70" s="84">
        <f t="shared" si="4"/>
        <v>1</v>
      </c>
      <c r="Q70" s="73"/>
      <c r="R70" s="73"/>
    </row>
    <row r="71" spans="1:18" customFormat="1" x14ac:dyDescent="0.3">
      <c r="A71" s="18" t="s">
        <v>7</v>
      </c>
      <c r="B71" s="18" t="s">
        <v>5</v>
      </c>
      <c r="C71" s="18">
        <v>618082</v>
      </c>
      <c r="D71" s="18" t="s">
        <v>89</v>
      </c>
      <c r="E71" s="131" t="s">
        <v>90</v>
      </c>
      <c r="F71" s="18" t="s">
        <v>692</v>
      </c>
      <c r="G71" s="18" t="s">
        <v>692</v>
      </c>
      <c r="H71" s="18" t="s">
        <v>692</v>
      </c>
      <c r="I71" s="18" t="s">
        <v>692</v>
      </c>
      <c r="J71" s="82">
        <v>640489.75182799995</v>
      </c>
      <c r="K71" s="82">
        <v>0</v>
      </c>
      <c r="L71" s="82">
        <v>640489.75182799995</v>
      </c>
      <c r="M71" s="67">
        <v>544416.28905379993</v>
      </c>
      <c r="N71" s="67">
        <v>96073.462774200016</v>
      </c>
      <c r="O71" s="65">
        <v>0</v>
      </c>
      <c r="P71" s="84">
        <f t="shared" si="4"/>
        <v>1</v>
      </c>
      <c r="Q71" s="73"/>
      <c r="R71" s="73"/>
    </row>
    <row r="72" spans="1:18" customFormat="1" ht="29.55" x14ac:dyDescent="0.3">
      <c r="A72" s="18" t="s">
        <v>7</v>
      </c>
      <c r="B72" s="18" t="s">
        <v>5</v>
      </c>
      <c r="C72" s="18">
        <v>475205</v>
      </c>
      <c r="D72" s="18" t="s">
        <v>91</v>
      </c>
      <c r="E72" s="131" t="s">
        <v>92</v>
      </c>
      <c r="F72" s="18" t="s">
        <v>692</v>
      </c>
      <c r="G72" s="18">
        <v>3286</v>
      </c>
      <c r="H72" s="18" t="s">
        <v>695</v>
      </c>
      <c r="I72" s="18">
        <v>1116663</v>
      </c>
      <c r="J72" s="82">
        <f>207916.6-(47952.91-981.93)</f>
        <v>160945.62</v>
      </c>
      <c r="K72" s="82">
        <f>J72-L72</f>
        <v>86160.92</v>
      </c>
      <c r="L72" s="82">
        <f>96610.15-(22281.71-456.26)</f>
        <v>74784.7</v>
      </c>
      <c r="M72" s="67">
        <f>L72</f>
        <v>74784.7</v>
      </c>
      <c r="N72" s="65">
        <v>0</v>
      </c>
      <c r="O72" s="65">
        <v>0</v>
      </c>
      <c r="P72" s="84">
        <f t="shared" si="4"/>
        <v>0.46465818703236533</v>
      </c>
      <c r="Q72" s="73"/>
      <c r="R72" s="73"/>
    </row>
    <row r="73" spans="1:18" customFormat="1" x14ac:dyDescent="0.3">
      <c r="A73" s="18" t="s">
        <v>7</v>
      </c>
      <c r="B73" s="18" t="s">
        <v>5</v>
      </c>
      <c r="C73" s="18">
        <v>475205</v>
      </c>
      <c r="D73" s="18" t="s">
        <v>91</v>
      </c>
      <c r="E73" s="131" t="s">
        <v>93</v>
      </c>
      <c r="F73" s="18" t="s">
        <v>692</v>
      </c>
      <c r="G73" s="18">
        <v>3286</v>
      </c>
      <c r="H73" s="18">
        <v>619098</v>
      </c>
      <c r="I73" s="18" t="s">
        <v>692</v>
      </c>
      <c r="J73" s="82">
        <v>39975</v>
      </c>
      <c r="K73" s="82">
        <v>22761.764999999999</v>
      </c>
      <c r="L73" s="82">
        <v>17213.235000000001</v>
      </c>
      <c r="M73" s="67">
        <v>17213.235000000001</v>
      </c>
      <c r="N73" s="65">
        <v>0</v>
      </c>
      <c r="O73" s="65">
        <v>0</v>
      </c>
      <c r="P73" s="84">
        <f t="shared" si="4"/>
        <v>0.43060000000000004</v>
      </c>
      <c r="Q73" s="73"/>
      <c r="R73" s="73"/>
    </row>
    <row r="74" spans="1:18" customFormat="1" x14ac:dyDescent="0.3">
      <c r="A74" s="18" t="s">
        <v>7</v>
      </c>
      <c r="B74" s="18" t="s">
        <v>5</v>
      </c>
      <c r="C74" s="18">
        <v>475205</v>
      </c>
      <c r="D74" s="18" t="s">
        <v>91</v>
      </c>
      <c r="E74" s="131" t="s">
        <v>94</v>
      </c>
      <c r="F74" s="18" t="s">
        <v>692</v>
      </c>
      <c r="G74" s="18">
        <v>3286</v>
      </c>
      <c r="H74" s="18">
        <v>619097</v>
      </c>
      <c r="I74" s="18" t="s">
        <v>692</v>
      </c>
      <c r="J74" s="82">
        <v>131999.67999999999</v>
      </c>
      <c r="K74" s="82">
        <v>75160.617792000005</v>
      </c>
      <c r="L74" s="82">
        <v>56839.062207999996</v>
      </c>
      <c r="M74" s="67">
        <v>56839.062207999996</v>
      </c>
      <c r="N74" s="65">
        <v>0</v>
      </c>
      <c r="O74" s="65">
        <v>0</v>
      </c>
      <c r="P74" s="84">
        <f t="shared" si="4"/>
        <v>0.43059999999999998</v>
      </c>
      <c r="Q74" s="73"/>
      <c r="R74" s="73"/>
    </row>
    <row r="75" spans="1:18" customFormat="1" ht="29.55" x14ac:dyDescent="0.3">
      <c r="A75" s="18" t="s">
        <v>7</v>
      </c>
      <c r="B75" s="18" t="s">
        <v>5</v>
      </c>
      <c r="C75" s="18">
        <v>475205</v>
      </c>
      <c r="D75" s="18" t="s">
        <v>91</v>
      </c>
      <c r="E75" s="131" t="s">
        <v>95</v>
      </c>
      <c r="F75" s="18" t="s">
        <v>692</v>
      </c>
      <c r="G75" s="18" t="s">
        <v>692</v>
      </c>
      <c r="H75" s="18" t="s">
        <v>692</v>
      </c>
      <c r="I75" s="18" t="s">
        <v>692</v>
      </c>
      <c r="J75" s="82">
        <v>16749.8</v>
      </c>
      <c r="K75" s="82">
        <v>0</v>
      </c>
      <c r="L75" s="82">
        <v>16749.8</v>
      </c>
      <c r="M75" s="67">
        <v>14237.329999999998</v>
      </c>
      <c r="N75" s="67">
        <v>2512.4700000000012</v>
      </c>
      <c r="O75" s="65">
        <v>0</v>
      </c>
      <c r="P75" s="84">
        <f t="shared" si="4"/>
        <v>1</v>
      </c>
      <c r="Q75" s="73"/>
      <c r="R75" s="73"/>
    </row>
    <row r="76" spans="1:18" customFormat="1" x14ac:dyDescent="0.3">
      <c r="A76" s="18" t="s">
        <v>7</v>
      </c>
      <c r="B76" s="18" t="s">
        <v>5</v>
      </c>
      <c r="C76" s="18">
        <v>640221</v>
      </c>
      <c r="D76" s="18" t="s">
        <v>96</v>
      </c>
      <c r="E76" s="131" t="s">
        <v>97</v>
      </c>
      <c r="F76" s="18" t="s">
        <v>692</v>
      </c>
      <c r="G76" s="18">
        <v>3286</v>
      </c>
      <c r="H76" s="18">
        <v>619094</v>
      </c>
      <c r="I76" s="18" t="s">
        <v>692</v>
      </c>
      <c r="J76" s="82">
        <v>220342.56</v>
      </c>
      <c r="K76" s="82">
        <v>125463.05366400001</v>
      </c>
      <c r="L76" s="82">
        <v>94879.506335999991</v>
      </c>
      <c r="M76" s="67">
        <v>94879.506335999991</v>
      </c>
      <c r="N76" s="65">
        <v>0</v>
      </c>
      <c r="O76" s="65">
        <v>0</v>
      </c>
      <c r="P76" s="84">
        <f t="shared" si="4"/>
        <v>0.43059999999999998</v>
      </c>
      <c r="Q76" s="73"/>
      <c r="R76" s="73"/>
    </row>
    <row r="77" spans="1:18" customFormat="1" x14ac:dyDescent="0.3">
      <c r="A77" s="18" t="s">
        <v>7</v>
      </c>
      <c r="B77" s="18" t="s">
        <v>5</v>
      </c>
      <c r="C77" s="18">
        <v>640221</v>
      </c>
      <c r="D77" s="18" t="s">
        <v>96</v>
      </c>
      <c r="E77" s="131" t="s">
        <v>98</v>
      </c>
      <c r="F77" s="18" t="s">
        <v>692</v>
      </c>
      <c r="G77" s="18" t="s">
        <v>692</v>
      </c>
      <c r="H77" s="18" t="s">
        <v>692</v>
      </c>
      <c r="I77" s="18" t="s">
        <v>692</v>
      </c>
      <c r="J77" s="82">
        <v>313757.55119999999</v>
      </c>
      <c r="K77" s="82">
        <v>0</v>
      </c>
      <c r="L77" s="82">
        <v>313757.55119999999</v>
      </c>
      <c r="M77" s="67">
        <v>266693.91852000001</v>
      </c>
      <c r="N77" s="67">
        <v>47063.632679999981</v>
      </c>
      <c r="O77" s="65">
        <v>0</v>
      </c>
      <c r="P77" s="84">
        <f t="shared" si="4"/>
        <v>1</v>
      </c>
      <c r="Q77" s="73"/>
      <c r="R77" s="73"/>
    </row>
    <row r="78" spans="1:18" customFormat="1" x14ac:dyDescent="0.3">
      <c r="A78" s="18" t="s">
        <v>7</v>
      </c>
      <c r="B78" s="18" t="s">
        <v>5</v>
      </c>
      <c r="C78" s="18">
        <v>640221</v>
      </c>
      <c r="D78" s="18" t="s">
        <v>96</v>
      </c>
      <c r="E78" s="131" t="s">
        <v>99</v>
      </c>
      <c r="F78" s="18" t="s">
        <v>692</v>
      </c>
      <c r="G78" s="18">
        <v>3286</v>
      </c>
      <c r="H78" s="18">
        <v>619091</v>
      </c>
      <c r="I78" s="18" t="s">
        <v>692</v>
      </c>
      <c r="J78" s="82">
        <v>139366.66</v>
      </c>
      <c r="K78" s="82">
        <v>37347.478407999995</v>
      </c>
      <c r="L78" s="82">
        <v>102019.18159200001</v>
      </c>
      <c r="M78" s="67">
        <v>102019.18159200001</v>
      </c>
      <c r="N78" s="65">
        <v>0</v>
      </c>
      <c r="O78" s="65">
        <v>0</v>
      </c>
      <c r="P78" s="84">
        <f t="shared" si="4"/>
        <v>0.73201999382061678</v>
      </c>
      <c r="Q78" s="73"/>
      <c r="R78" s="73"/>
    </row>
    <row r="79" spans="1:18" customFormat="1" ht="29.55" x14ac:dyDescent="0.3">
      <c r="A79" s="11" t="s">
        <v>100</v>
      </c>
      <c r="B79" s="12" t="s">
        <v>5</v>
      </c>
      <c r="C79" s="18">
        <v>622330</v>
      </c>
      <c r="D79" s="12" t="s">
        <v>43</v>
      </c>
      <c r="E79" s="131" t="s">
        <v>44</v>
      </c>
      <c r="F79" s="12">
        <v>13008</v>
      </c>
      <c r="G79" s="12">
        <v>16755</v>
      </c>
      <c r="H79" s="12">
        <v>4901695</v>
      </c>
      <c r="I79" s="12" t="s">
        <v>692</v>
      </c>
      <c r="J79" s="82">
        <v>156470.56400000001</v>
      </c>
      <c r="K79" s="83">
        <v>23470.583999999999</v>
      </c>
      <c r="L79" s="83">
        <v>132999.98000000001</v>
      </c>
      <c r="M79" s="64">
        <v>132999.98000000001</v>
      </c>
      <c r="N79" s="65">
        <v>0</v>
      </c>
      <c r="O79" s="65">
        <v>0</v>
      </c>
      <c r="P79" s="84">
        <f t="shared" si="4"/>
        <v>0.85000000383458707</v>
      </c>
      <c r="Q79" s="73"/>
      <c r="R79" s="73"/>
    </row>
    <row r="80" spans="1:18" customFormat="1" x14ac:dyDescent="0.3">
      <c r="A80" s="11" t="s">
        <v>100</v>
      </c>
      <c r="B80" s="12" t="s">
        <v>5</v>
      </c>
      <c r="C80" s="18">
        <v>637541</v>
      </c>
      <c r="D80" s="12" t="s">
        <v>101</v>
      </c>
      <c r="E80" s="116" t="s">
        <v>102</v>
      </c>
      <c r="F80" s="18">
        <v>13008</v>
      </c>
      <c r="G80" s="18" t="s">
        <v>692</v>
      </c>
      <c r="H80" s="18" t="s">
        <v>692</v>
      </c>
      <c r="I80" s="18" t="s">
        <v>692</v>
      </c>
      <c r="J80" s="82">
        <v>20600</v>
      </c>
      <c r="K80" s="83">
        <v>0</v>
      </c>
      <c r="L80" s="83">
        <v>20600</v>
      </c>
      <c r="M80" s="64">
        <v>17510</v>
      </c>
      <c r="N80" s="64">
        <v>3090</v>
      </c>
      <c r="O80" s="65">
        <v>0</v>
      </c>
      <c r="P80" s="84">
        <f t="shared" si="4"/>
        <v>1</v>
      </c>
      <c r="Q80" s="73"/>
      <c r="R80" s="73"/>
    </row>
    <row r="81" spans="1:18" customFormat="1" x14ac:dyDescent="0.3">
      <c r="A81" s="11" t="s">
        <v>100</v>
      </c>
      <c r="B81" s="12" t="s">
        <v>5</v>
      </c>
      <c r="C81" s="18">
        <v>637541</v>
      </c>
      <c r="D81" s="12" t="s">
        <v>101</v>
      </c>
      <c r="E81" s="131" t="s">
        <v>71</v>
      </c>
      <c r="F81" s="18">
        <v>13008</v>
      </c>
      <c r="G81" s="18">
        <v>16755</v>
      </c>
      <c r="H81" s="18">
        <v>4901982</v>
      </c>
      <c r="I81" s="18" t="s">
        <v>692</v>
      </c>
      <c r="J81" s="82">
        <v>120000</v>
      </c>
      <c r="K81" s="83">
        <v>18000</v>
      </c>
      <c r="L81" s="83">
        <v>102000</v>
      </c>
      <c r="M81" s="64">
        <v>102000</v>
      </c>
      <c r="N81" s="65">
        <v>0</v>
      </c>
      <c r="O81" s="65">
        <v>0</v>
      </c>
      <c r="P81" s="84">
        <f t="shared" si="4"/>
        <v>0.85</v>
      </c>
      <c r="Q81" s="73"/>
      <c r="R81" s="73"/>
    </row>
    <row r="82" spans="1:18" customFormat="1" x14ac:dyDescent="0.3">
      <c r="A82" s="11" t="s">
        <v>100</v>
      </c>
      <c r="B82" s="12" t="s">
        <v>5</v>
      </c>
      <c r="C82" s="18">
        <v>637541</v>
      </c>
      <c r="D82" s="12" t="s">
        <v>101</v>
      </c>
      <c r="E82" s="131" t="s">
        <v>74</v>
      </c>
      <c r="F82" s="12">
        <v>13008</v>
      </c>
      <c r="G82" s="12">
        <v>16755</v>
      </c>
      <c r="H82" s="12">
        <v>4902127</v>
      </c>
      <c r="I82" s="12" t="s">
        <v>692</v>
      </c>
      <c r="J82" s="82">
        <v>29520</v>
      </c>
      <c r="K82" s="83">
        <v>4428</v>
      </c>
      <c r="L82" s="83">
        <v>25092</v>
      </c>
      <c r="M82" s="64">
        <v>25092</v>
      </c>
      <c r="N82" s="65">
        <v>0</v>
      </c>
      <c r="O82" s="65">
        <v>0</v>
      </c>
      <c r="P82" s="84">
        <f t="shared" si="4"/>
        <v>0.85</v>
      </c>
      <c r="Q82" s="73"/>
      <c r="R82" s="73"/>
    </row>
    <row r="83" spans="1:18" customFormat="1" x14ac:dyDescent="0.3">
      <c r="A83" s="11" t="s">
        <v>100</v>
      </c>
      <c r="B83" s="12" t="s">
        <v>5</v>
      </c>
      <c r="C83" s="18">
        <v>546749</v>
      </c>
      <c r="D83" s="12" t="s">
        <v>77</v>
      </c>
      <c r="E83" s="116" t="s">
        <v>104</v>
      </c>
      <c r="F83" s="18">
        <v>13008</v>
      </c>
      <c r="G83" s="18" t="s">
        <v>692</v>
      </c>
      <c r="H83" s="18" t="s">
        <v>692</v>
      </c>
      <c r="I83" s="18" t="s">
        <v>692</v>
      </c>
      <c r="J83" s="82">
        <v>34324.81</v>
      </c>
      <c r="K83" s="83">
        <v>0</v>
      </c>
      <c r="L83" s="83">
        <v>34324.81</v>
      </c>
      <c r="M83" s="64">
        <v>29176.088499999998</v>
      </c>
      <c r="N83" s="64">
        <v>5148.7214999999997</v>
      </c>
      <c r="O83" s="65">
        <v>0</v>
      </c>
      <c r="P83" s="84">
        <f t="shared" si="4"/>
        <v>1</v>
      </c>
      <c r="Q83" s="73"/>
      <c r="R83" s="73"/>
    </row>
    <row r="84" spans="1:18" customFormat="1" x14ac:dyDescent="0.3">
      <c r="A84" s="11" t="s">
        <v>100</v>
      </c>
      <c r="B84" s="12" t="s">
        <v>5</v>
      </c>
      <c r="C84" s="18">
        <v>546749</v>
      </c>
      <c r="D84" s="12" t="s">
        <v>77</v>
      </c>
      <c r="E84" s="131" t="s">
        <v>79</v>
      </c>
      <c r="F84" s="18">
        <v>13008</v>
      </c>
      <c r="G84" s="18">
        <v>16755</v>
      </c>
      <c r="H84" s="18">
        <v>4902308</v>
      </c>
      <c r="I84" s="18">
        <v>951705</v>
      </c>
      <c r="J84" s="82">
        <v>62571.51</v>
      </c>
      <c r="K84" s="83">
        <v>9385.6900000000023</v>
      </c>
      <c r="L84" s="83">
        <v>53185.82</v>
      </c>
      <c r="M84" s="64">
        <v>53185.82</v>
      </c>
      <c r="N84" s="65">
        <v>0</v>
      </c>
      <c r="O84" s="65">
        <v>0</v>
      </c>
      <c r="P84" s="84">
        <f t="shared" si="4"/>
        <v>0.85000058333257422</v>
      </c>
      <c r="Q84" s="73"/>
      <c r="R84" s="73"/>
    </row>
    <row r="85" spans="1:18" customFormat="1" x14ac:dyDescent="0.3">
      <c r="A85" s="11" t="s">
        <v>100</v>
      </c>
      <c r="B85" s="12" t="s">
        <v>5</v>
      </c>
      <c r="C85" s="18">
        <v>613474</v>
      </c>
      <c r="D85" s="12" t="s">
        <v>84</v>
      </c>
      <c r="E85" s="131" t="s">
        <v>85</v>
      </c>
      <c r="F85" s="12">
        <v>13008</v>
      </c>
      <c r="G85" s="12" t="s">
        <v>692</v>
      </c>
      <c r="H85" s="12" t="s">
        <v>692</v>
      </c>
      <c r="I85" s="12" t="s">
        <v>692</v>
      </c>
      <c r="J85" s="82">
        <v>149409</v>
      </c>
      <c r="K85" s="83">
        <v>0</v>
      </c>
      <c r="L85" s="83">
        <v>149409</v>
      </c>
      <c r="M85" s="64">
        <v>126997.65</v>
      </c>
      <c r="N85" s="64">
        <v>22411.350000000006</v>
      </c>
      <c r="O85" s="65">
        <v>0</v>
      </c>
      <c r="P85" s="84">
        <f t="shared" si="4"/>
        <v>1</v>
      </c>
      <c r="Q85" s="73"/>
      <c r="R85" s="73"/>
    </row>
    <row r="86" spans="1:18" customFormat="1" x14ac:dyDescent="0.3">
      <c r="A86" s="11" t="s">
        <v>100</v>
      </c>
      <c r="B86" s="12" t="s">
        <v>5</v>
      </c>
      <c r="C86" s="18">
        <v>566950</v>
      </c>
      <c r="D86" s="18" t="s">
        <v>58</v>
      </c>
      <c r="E86" s="116" t="s">
        <v>59</v>
      </c>
      <c r="F86" s="18">
        <v>13008</v>
      </c>
      <c r="G86" s="18" t="s">
        <v>692</v>
      </c>
      <c r="H86" s="18" t="s">
        <v>692</v>
      </c>
      <c r="I86" s="18" t="s">
        <v>692</v>
      </c>
      <c r="J86" s="82">
        <v>37816.21</v>
      </c>
      <c r="K86" s="83">
        <v>0</v>
      </c>
      <c r="L86" s="83">
        <v>37816.21</v>
      </c>
      <c r="M86" s="64">
        <v>32143.778499999997</v>
      </c>
      <c r="N86" s="64">
        <v>5672.4315000000024</v>
      </c>
      <c r="O86" s="65">
        <v>0</v>
      </c>
      <c r="P86" s="84">
        <f t="shared" si="4"/>
        <v>1</v>
      </c>
      <c r="Q86" s="73"/>
      <c r="R86" s="73"/>
    </row>
    <row r="87" spans="1:18" customFormat="1" ht="29.55" x14ac:dyDescent="0.3">
      <c r="A87" s="11" t="s">
        <v>100</v>
      </c>
      <c r="B87" s="12" t="s">
        <v>5</v>
      </c>
      <c r="C87" s="18">
        <v>566950</v>
      </c>
      <c r="D87" s="18" t="s">
        <v>58</v>
      </c>
      <c r="E87" s="131" t="s">
        <v>65</v>
      </c>
      <c r="F87" s="12">
        <v>13008</v>
      </c>
      <c r="G87" s="12">
        <v>16755</v>
      </c>
      <c r="H87" s="12">
        <v>4902441</v>
      </c>
      <c r="I87" s="12">
        <v>1075424</v>
      </c>
      <c r="J87" s="82">
        <v>35966.009999999995</v>
      </c>
      <c r="K87" s="83">
        <v>5394.901499999999</v>
      </c>
      <c r="L87" s="83">
        <v>30571.108499999995</v>
      </c>
      <c r="M87" s="64">
        <v>30571.108499999995</v>
      </c>
      <c r="N87" s="65">
        <v>0</v>
      </c>
      <c r="O87" s="65">
        <v>0</v>
      </c>
      <c r="P87" s="84">
        <f t="shared" si="4"/>
        <v>0.85</v>
      </c>
      <c r="Q87" s="73"/>
      <c r="R87" s="73"/>
    </row>
    <row r="88" spans="1:18" customFormat="1" ht="29.55" x14ac:dyDescent="0.3">
      <c r="A88" s="11" t="s">
        <v>100</v>
      </c>
      <c r="B88" s="12" t="s">
        <v>5</v>
      </c>
      <c r="C88" s="18">
        <v>566950</v>
      </c>
      <c r="D88" s="18" t="s">
        <v>58</v>
      </c>
      <c r="E88" s="116" t="s">
        <v>106</v>
      </c>
      <c r="F88" s="12">
        <v>13008</v>
      </c>
      <c r="G88" s="12">
        <v>16755</v>
      </c>
      <c r="H88" s="12">
        <v>4902623</v>
      </c>
      <c r="I88" s="12" t="s">
        <v>782</v>
      </c>
      <c r="J88" s="82">
        <f>70421.59-172.2</f>
        <v>70249.39</v>
      </c>
      <c r="K88" s="64">
        <f>J88-L88</f>
        <v>10537.498500000002</v>
      </c>
      <c r="L88" s="64">
        <f>59858.3515-146.46</f>
        <v>59711.891499999998</v>
      </c>
      <c r="M88" s="64">
        <f>L88</f>
        <v>59711.891499999998</v>
      </c>
      <c r="N88" s="65">
        <v>0</v>
      </c>
      <c r="O88" s="65">
        <v>0</v>
      </c>
      <c r="P88" s="84">
        <f t="shared" si="4"/>
        <v>0.84999871885008538</v>
      </c>
      <c r="Q88" s="73"/>
      <c r="R88" s="73"/>
    </row>
    <row r="89" spans="1:18" customFormat="1" ht="29.55" x14ac:dyDescent="0.3">
      <c r="A89" s="12" t="s">
        <v>100</v>
      </c>
      <c r="B89" s="12" t="s">
        <v>5</v>
      </c>
      <c r="C89" s="12">
        <v>475205</v>
      </c>
      <c r="D89" s="12" t="s">
        <v>91</v>
      </c>
      <c r="E89" s="116" t="s">
        <v>107</v>
      </c>
      <c r="F89" s="12">
        <v>13008</v>
      </c>
      <c r="G89" s="12">
        <v>16755</v>
      </c>
      <c r="H89" s="12">
        <v>7884245</v>
      </c>
      <c r="I89" s="12" t="s">
        <v>781</v>
      </c>
      <c r="J89" s="82">
        <f>107880-(25278.24-12247.8)-1504.37</f>
        <v>93345.19</v>
      </c>
      <c r="K89" s="83">
        <f>J89-L89</f>
        <v>14001.760000000009</v>
      </c>
      <c r="L89" s="83">
        <f>91698-(21486.5-10410.64)-1278.71</f>
        <v>79343.429999999993</v>
      </c>
      <c r="M89" s="64">
        <f>L89</f>
        <v>79343.429999999993</v>
      </c>
      <c r="N89" s="65">
        <v>0</v>
      </c>
      <c r="O89" s="65">
        <v>0</v>
      </c>
      <c r="P89" s="84">
        <f t="shared" si="4"/>
        <v>0.85000019818910855</v>
      </c>
      <c r="Q89" s="73"/>
      <c r="R89" s="73"/>
    </row>
    <row r="90" spans="1:18" customFormat="1" x14ac:dyDescent="0.3">
      <c r="A90" s="12" t="s">
        <v>100</v>
      </c>
      <c r="B90" s="12" t="s">
        <v>5</v>
      </c>
      <c r="C90" s="12">
        <v>475205</v>
      </c>
      <c r="D90" s="12" t="s">
        <v>91</v>
      </c>
      <c r="E90" s="116" t="s">
        <v>94</v>
      </c>
      <c r="F90" s="12">
        <v>13008</v>
      </c>
      <c r="G90" s="12">
        <v>16755</v>
      </c>
      <c r="H90" s="12">
        <v>7884819</v>
      </c>
      <c r="I90" s="12" t="s">
        <v>692</v>
      </c>
      <c r="J90" s="82">
        <v>68300</v>
      </c>
      <c r="K90" s="83">
        <v>10245</v>
      </c>
      <c r="L90" s="83">
        <v>58055</v>
      </c>
      <c r="M90" s="64">
        <v>58055</v>
      </c>
      <c r="N90" s="65">
        <v>0</v>
      </c>
      <c r="O90" s="65">
        <v>0</v>
      </c>
      <c r="P90" s="84">
        <f t="shared" si="4"/>
        <v>0.85</v>
      </c>
      <c r="Q90" s="73"/>
      <c r="R90" s="73"/>
    </row>
    <row r="91" spans="1:18" customFormat="1" x14ac:dyDescent="0.3">
      <c r="A91" s="12" t="s">
        <v>109</v>
      </c>
      <c r="B91" s="12" t="s">
        <v>5</v>
      </c>
      <c r="C91" s="12">
        <v>2692650</v>
      </c>
      <c r="D91" s="12" t="s">
        <v>108</v>
      </c>
      <c r="E91" s="116" t="s">
        <v>110</v>
      </c>
      <c r="F91" s="12">
        <v>13008</v>
      </c>
      <c r="G91" s="12" t="s">
        <v>692</v>
      </c>
      <c r="H91" s="12">
        <v>5816373</v>
      </c>
      <c r="I91" s="12" t="s">
        <v>692</v>
      </c>
      <c r="J91" s="82">
        <v>80565</v>
      </c>
      <c r="K91" s="83">
        <v>12084.75</v>
      </c>
      <c r="L91" s="83">
        <v>68480.25</v>
      </c>
      <c r="M91" s="64">
        <v>68480.25</v>
      </c>
      <c r="N91" s="65">
        <v>0</v>
      </c>
      <c r="O91" s="65">
        <v>0</v>
      </c>
      <c r="P91" s="84">
        <f t="shared" si="4"/>
        <v>0.85</v>
      </c>
      <c r="Q91" s="73"/>
      <c r="R91" s="73"/>
    </row>
    <row r="92" spans="1:18" customFormat="1" x14ac:dyDescent="0.3">
      <c r="A92" s="11" t="s">
        <v>109</v>
      </c>
      <c r="B92" s="12" t="s">
        <v>5</v>
      </c>
      <c r="C92" s="12">
        <v>2692650</v>
      </c>
      <c r="D92" s="12" t="s">
        <v>108</v>
      </c>
      <c r="E92" s="116" t="s">
        <v>111</v>
      </c>
      <c r="F92" s="12">
        <v>13008</v>
      </c>
      <c r="G92" s="12" t="s">
        <v>692</v>
      </c>
      <c r="H92" s="12">
        <v>5816392</v>
      </c>
      <c r="I92" s="12" t="s">
        <v>692</v>
      </c>
      <c r="J92" s="82">
        <v>165189</v>
      </c>
      <c r="K92" s="83">
        <v>24778.35</v>
      </c>
      <c r="L92" s="83">
        <v>140410.65</v>
      </c>
      <c r="M92" s="64">
        <v>140410.65</v>
      </c>
      <c r="N92" s="65">
        <v>0</v>
      </c>
      <c r="O92" s="65">
        <v>0</v>
      </c>
      <c r="P92" s="84">
        <f t="shared" si="4"/>
        <v>0.85</v>
      </c>
      <c r="Q92" s="73"/>
      <c r="R92" s="73"/>
    </row>
    <row r="93" spans="1:18" customFormat="1" x14ac:dyDescent="0.3">
      <c r="A93" s="11" t="s">
        <v>109</v>
      </c>
      <c r="B93" s="12" t="s">
        <v>5</v>
      </c>
      <c r="C93" s="12">
        <v>2692650</v>
      </c>
      <c r="D93" s="12" t="s">
        <v>108</v>
      </c>
      <c r="E93" s="116" t="s">
        <v>112</v>
      </c>
      <c r="F93" s="12">
        <v>13008</v>
      </c>
      <c r="G93" s="12" t="s">
        <v>692</v>
      </c>
      <c r="H93" s="12">
        <v>5816418</v>
      </c>
      <c r="I93" s="12" t="s">
        <v>692</v>
      </c>
      <c r="J93" s="82">
        <v>81180</v>
      </c>
      <c r="K93" s="83">
        <v>12177</v>
      </c>
      <c r="L93" s="83">
        <v>69003</v>
      </c>
      <c r="M93" s="64">
        <v>69003</v>
      </c>
      <c r="N93" s="65">
        <v>0</v>
      </c>
      <c r="O93" s="65">
        <v>0</v>
      </c>
      <c r="P93" s="84">
        <f t="shared" si="4"/>
        <v>0.85</v>
      </c>
      <c r="Q93" s="73"/>
      <c r="R93" s="73"/>
    </row>
    <row r="94" spans="1:18" customFormat="1" x14ac:dyDescent="0.3">
      <c r="A94" s="11" t="s">
        <v>109</v>
      </c>
      <c r="B94" s="12" t="s">
        <v>5</v>
      </c>
      <c r="C94" s="12">
        <v>2692650</v>
      </c>
      <c r="D94" s="12" t="s">
        <v>108</v>
      </c>
      <c r="E94" s="116" t="s">
        <v>113</v>
      </c>
      <c r="F94" s="12">
        <v>13008</v>
      </c>
      <c r="G94" s="12" t="s">
        <v>692</v>
      </c>
      <c r="H94" s="12">
        <v>5816519</v>
      </c>
      <c r="I94" s="12" t="s">
        <v>692</v>
      </c>
      <c r="J94" s="82">
        <v>84624</v>
      </c>
      <c r="K94" s="83">
        <v>12693.6</v>
      </c>
      <c r="L94" s="83">
        <v>71930.399999999994</v>
      </c>
      <c r="M94" s="64">
        <v>71930.399999999994</v>
      </c>
      <c r="N94" s="65">
        <v>0</v>
      </c>
      <c r="O94" s="65">
        <v>0</v>
      </c>
      <c r="P94" s="84">
        <f t="shared" si="4"/>
        <v>0.85</v>
      </c>
      <c r="Q94" s="73"/>
      <c r="R94" s="73"/>
    </row>
    <row r="95" spans="1:18" customFormat="1" x14ac:dyDescent="0.3">
      <c r="A95" s="11" t="s">
        <v>109</v>
      </c>
      <c r="B95" s="12" t="s">
        <v>5</v>
      </c>
      <c r="C95" s="12">
        <v>3063485</v>
      </c>
      <c r="D95" s="12" t="s">
        <v>114</v>
      </c>
      <c r="E95" s="116" t="s">
        <v>115</v>
      </c>
      <c r="F95" s="12">
        <v>13008</v>
      </c>
      <c r="G95" s="12" t="s">
        <v>692</v>
      </c>
      <c r="H95" s="12">
        <v>8133917</v>
      </c>
      <c r="I95" s="12" t="s">
        <v>692</v>
      </c>
      <c r="J95" s="82">
        <v>175850</v>
      </c>
      <c r="K95" s="83">
        <v>26377.5</v>
      </c>
      <c r="L95" s="83">
        <v>149472.5</v>
      </c>
      <c r="M95" s="64">
        <v>149472.5</v>
      </c>
      <c r="N95" s="65">
        <v>0</v>
      </c>
      <c r="O95" s="65">
        <v>0</v>
      </c>
      <c r="P95" s="84">
        <f t="shared" si="4"/>
        <v>0.85</v>
      </c>
      <c r="Q95" s="73"/>
      <c r="R95" s="73"/>
    </row>
    <row r="96" spans="1:18" customFormat="1" x14ac:dyDescent="0.3">
      <c r="A96" s="11" t="s">
        <v>109</v>
      </c>
      <c r="B96" s="12" t="s">
        <v>5</v>
      </c>
      <c r="C96" s="12">
        <v>3063485</v>
      </c>
      <c r="D96" s="12" t="s">
        <v>114</v>
      </c>
      <c r="E96" s="116" t="s">
        <v>116</v>
      </c>
      <c r="F96" s="12">
        <v>13008</v>
      </c>
      <c r="G96" s="12" t="s">
        <v>692</v>
      </c>
      <c r="H96" s="12">
        <v>8134123</v>
      </c>
      <c r="I96" s="12" t="s">
        <v>692</v>
      </c>
      <c r="J96" s="82">
        <v>169650.88</v>
      </c>
      <c r="K96" s="83">
        <v>25447.63</v>
      </c>
      <c r="L96" s="83">
        <v>144203.25</v>
      </c>
      <c r="M96" s="64">
        <v>144203.25</v>
      </c>
      <c r="N96" s="65">
        <v>0</v>
      </c>
      <c r="O96" s="65">
        <v>0</v>
      </c>
      <c r="P96" s="84">
        <f t="shared" si="4"/>
        <v>0.85000001178891615</v>
      </c>
      <c r="Q96" s="73"/>
      <c r="R96" s="73"/>
    </row>
    <row r="97" spans="1:18" customFormat="1" x14ac:dyDescent="0.3">
      <c r="A97" s="11" t="s">
        <v>109</v>
      </c>
      <c r="B97" s="12" t="s">
        <v>5</v>
      </c>
      <c r="C97" s="12">
        <v>3147504</v>
      </c>
      <c r="D97" s="12" t="s">
        <v>117</v>
      </c>
      <c r="E97" s="116" t="s">
        <v>118</v>
      </c>
      <c r="F97" s="12">
        <v>13008</v>
      </c>
      <c r="G97" s="12" t="s">
        <v>692</v>
      </c>
      <c r="H97" s="12">
        <v>8135312</v>
      </c>
      <c r="I97" s="12" t="s">
        <v>692</v>
      </c>
      <c r="J97" s="82">
        <v>175650</v>
      </c>
      <c r="K97" s="83">
        <v>26347.5</v>
      </c>
      <c r="L97" s="83">
        <v>149302.5</v>
      </c>
      <c r="M97" s="64">
        <v>149302.5</v>
      </c>
      <c r="N97" s="65">
        <v>0</v>
      </c>
      <c r="O97" s="65">
        <v>0</v>
      </c>
      <c r="P97" s="84">
        <f t="shared" si="4"/>
        <v>0.85</v>
      </c>
      <c r="Q97" s="73"/>
      <c r="R97" s="73"/>
    </row>
    <row r="98" spans="1:18" customFormat="1" ht="29.55" x14ac:dyDescent="0.3">
      <c r="A98" s="11" t="s">
        <v>109</v>
      </c>
      <c r="B98" s="12" t="s">
        <v>5</v>
      </c>
      <c r="C98" s="12">
        <v>3147504</v>
      </c>
      <c r="D98" s="12" t="s">
        <v>117</v>
      </c>
      <c r="E98" s="116" t="s">
        <v>119</v>
      </c>
      <c r="F98" s="12">
        <v>13008</v>
      </c>
      <c r="G98" s="12" t="s">
        <v>692</v>
      </c>
      <c r="H98" s="12">
        <v>8135335</v>
      </c>
      <c r="I98" s="12" t="s">
        <v>692</v>
      </c>
      <c r="J98" s="82">
        <v>75214.490000000005</v>
      </c>
      <c r="K98" s="83">
        <v>11282.17</v>
      </c>
      <c r="L98" s="83">
        <v>63932.32</v>
      </c>
      <c r="M98" s="64">
        <v>63932.32</v>
      </c>
      <c r="N98" s="65">
        <v>0</v>
      </c>
      <c r="O98" s="65">
        <v>0</v>
      </c>
      <c r="P98" s="84">
        <f t="shared" si="4"/>
        <v>0.85000004653358674</v>
      </c>
      <c r="Q98" s="73"/>
      <c r="R98" s="73"/>
    </row>
    <row r="99" spans="1:18" customFormat="1" x14ac:dyDescent="0.3">
      <c r="A99" s="11" t="s">
        <v>109</v>
      </c>
      <c r="B99" s="12" t="s">
        <v>5</v>
      </c>
      <c r="C99" s="12">
        <v>3147992</v>
      </c>
      <c r="D99" s="12" t="s">
        <v>120</v>
      </c>
      <c r="E99" s="116" t="s">
        <v>121</v>
      </c>
      <c r="F99" s="18">
        <v>13008</v>
      </c>
      <c r="G99" s="18" t="s">
        <v>692</v>
      </c>
      <c r="H99" s="18">
        <v>8217200</v>
      </c>
      <c r="I99" s="18" t="s">
        <v>692</v>
      </c>
      <c r="J99" s="82">
        <v>39360</v>
      </c>
      <c r="K99" s="83">
        <v>5904</v>
      </c>
      <c r="L99" s="83">
        <v>33456</v>
      </c>
      <c r="M99" s="64">
        <v>33456</v>
      </c>
      <c r="N99" s="65">
        <v>0</v>
      </c>
      <c r="O99" s="65">
        <v>0</v>
      </c>
      <c r="P99" s="84">
        <f t="shared" si="4"/>
        <v>0.85</v>
      </c>
      <c r="Q99" s="73"/>
      <c r="R99" s="73"/>
    </row>
    <row r="100" spans="1:18" customFormat="1" ht="29.55" x14ac:dyDescent="0.3">
      <c r="A100" s="18" t="s">
        <v>7</v>
      </c>
      <c r="B100" s="18" t="s">
        <v>164</v>
      </c>
      <c r="C100" s="18">
        <v>473567</v>
      </c>
      <c r="D100" s="18" t="s">
        <v>165</v>
      </c>
      <c r="E100" s="131" t="s">
        <v>166</v>
      </c>
      <c r="F100" s="18" t="s">
        <v>692</v>
      </c>
      <c r="G100" s="18" t="s">
        <v>692</v>
      </c>
      <c r="H100" s="18" t="s">
        <v>692</v>
      </c>
      <c r="I100" s="18" t="s">
        <v>692</v>
      </c>
      <c r="J100" s="67">
        <v>568145.55000000005</v>
      </c>
      <c r="K100" s="67">
        <v>0</v>
      </c>
      <c r="L100" s="67">
        <v>568145.55000000005</v>
      </c>
      <c r="M100" s="67">
        <v>482923.71750000003</v>
      </c>
      <c r="N100" s="67">
        <v>85221.832500000019</v>
      </c>
      <c r="O100" s="65">
        <v>0</v>
      </c>
      <c r="P100" s="84">
        <f t="shared" si="4"/>
        <v>1</v>
      </c>
      <c r="Q100" s="73"/>
      <c r="R100" s="73"/>
    </row>
    <row r="101" spans="1:18" customFormat="1" x14ac:dyDescent="0.3">
      <c r="A101" s="18" t="s">
        <v>7</v>
      </c>
      <c r="B101" s="18" t="s">
        <v>164</v>
      </c>
      <c r="C101" s="18">
        <v>473567</v>
      </c>
      <c r="D101" s="18" t="s">
        <v>165</v>
      </c>
      <c r="E101" s="131" t="s">
        <v>167</v>
      </c>
      <c r="F101" s="18" t="s">
        <v>692</v>
      </c>
      <c r="G101" s="18" t="s">
        <v>692</v>
      </c>
      <c r="H101" s="18" t="s">
        <v>692</v>
      </c>
      <c r="I101" s="18" t="s">
        <v>692</v>
      </c>
      <c r="J101" s="67">
        <v>67151.850000000006</v>
      </c>
      <c r="K101" s="67">
        <v>0</v>
      </c>
      <c r="L101" s="67">
        <v>67151.850000000006</v>
      </c>
      <c r="M101" s="67">
        <v>57079.072500000002</v>
      </c>
      <c r="N101" s="67">
        <v>10072.777500000004</v>
      </c>
      <c r="O101" s="65">
        <v>0</v>
      </c>
      <c r="P101" s="84">
        <f t="shared" si="4"/>
        <v>1</v>
      </c>
      <c r="Q101" s="73"/>
      <c r="R101" s="73"/>
    </row>
    <row r="102" spans="1:18" customFormat="1" x14ac:dyDescent="0.3">
      <c r="A102" s="18" t="s">
        <v>7</v>
      </c>
      <c r="B102" s="18" t="s">
        <v>164</v>
      </c>
      <c r="C102" s="18">
        <v>473567</v>
      </c>
      <c r="D102" s="18" t="s">
        <v>165</v>
      </c>
      <c r="E102" s="131" t="s">
        <v>168</v>
      </c>
      <c r="F102" s="18" t="s">
        <v>692</v>
      </c>
      <c r="G102" s="18" t="s">
        <v>692</v>
      </c>
      <c r="H102" s="18" t="s">
        <v>692</v>
      </c>
      <c r="I102" s="18" t="s">
        <v>692</v>
      </c>
      <c r="J102" s="67">
        <v>81625.389999999985</v>
      </c>
      <c r="K102" s="67">
        <v>0</v>
      </c>
      <c r="L102" s="67">
        <v>81625.389999999985</v>
      </c>
      <c r="M102" s="67">
        <v>69381.581499999986</v>
      </c>
      <c r="N102" s="67">
        <v>12243.808499999999</v>
      </c>
      <c r="O102" s="65">
        <v>0</v>
      </c>
      <c r="P102" s="84">
        <f t="shared" si="4"/>
        <v>1</v>
      </c>
      <c r="Q102" s="73"/>
      <c r="R102" s="73"/>
    </row>
    <row r="103" spans="1:18" customFormat="1" x14ac:dyDescent="0.3">
      <c r="A103" s="18" t="s">
        <v>7</v>
      </c>
      <c r="B103" s="18" t="s">
        <v>164</v>
      </c>
      <c r="C103" s="18">
        <v>500518</v>
      </c>
      <c r="D103" s="18" t="s">
        <v>169</v>
      </c>
      <c r="E103" s="131" t="s">
        <v>170</v>
      </c>
      <c r="F103" s="18" t="s">
        <v>692</v>
      </c>
      <c r="G103" s="18" t="s">
        <v>692</v>
      </c>
      <c r="H103" s="18" t="s">
        <v>692</v>
      </c>
      <c r="I103" s="18" t="s">
        <v>692</v>
      </c>
      <c r="J103" s="67">
        <v>464696.32999999996</v>
      </c>
      <c r="K103" s="67">
        <v>0</v>
      </c>
      <c r="L103" s="67">
        <v>464696.32999999996</v>
      </c>
      <c r="M103" s="67">
        <v>394991.88049999997</v>
      </c>
      <c r="N103" s="67">
        <v>69704.449499999988</v>
      </c>
      <c r="O103" s="65">
        <v>0</v>
      </c>
      <c r="P103" s="84">
        <f t="shared" si="4"/>
        <v>1</v>
      </c>
      <c r="Q103" s="73"/>
      <c r="R103" s="73"/>
    </row>
    <row r="104" spans="1:18" customFormat="1" x14ac:dyDescent="0.3">
      <c r="A104" s="18" t="s">
        <v>7</v>
      </c>
      <c r="B104" s="18" t="s">
        <v>164</v>
      </c>
      <c r="C104" s="18">
        <v>500518</v>
      </c>
      <c r="D104" s="18" t="s">
        <v>169</v>
      </c>
      <c r="E104" s="131" t="s">
        <v>171</v>
      </c>
      <c r="F104" s="18" t="s">
        <v>692</v>
      </c>
      <c r="G104" s="18" t="s">
        <v>692</v>
      </c>
      <c r="H104" s="18" t="s">
        <v>692</v>
      </c>
      <c r="I104" s="18" t="s">
        <v>692</v>
      </c>
      <c r="J104" s="67">
        <v>72263.88</v>
      </c>
      <c r="K104" s="67">
        <v>0</v>
      </c>
      <c r="L104" s="67">
        <v>72263.88</v>
      </c>
      <c r="M104" s="67">
        <v>61424.298000000003</v>
      </c>
      <c r="N104" s="67">
        <v>10839.582000000002</v>
      </c>
      <c r="O104" s="65">
        <v>0</v>
      </c>
      <c r="P104" s="84">
        <f t="shared" si="4"/>
        <v>1</v>
      </c>
      <c r="Q104" s="73"/>
      <c r="R104" s="73"/>
    </row>
    <row r="105" spans="1:18" customFormat="1" x14ac:dyDescent="0.3">
      <c r="A105" s="18" t="s">
        <v>7</v>
      </c>
      <c r="B105" s="18" t="s">
        <v>164</v>
      </c>
      <c r="C105" s="18">
        <v>500518</v>
      </c>
      <c r="D105" s="18" t="s">
        <v>169</v>
      </c>
      <c r="E105" s="131" t="s">
        <v>172</v>
      </c>
      <c r="F105" s="18" t="s">
        <v>692</v>
      </c>
      <c r="G105" s="18" t="s">
        <v>692</v>
      </c>
      <c r="H105" s="18" t="s">
        <v>692</v>
      </c>
      <c r="I105" s="18" t="s">
        <v>692</v>
      </c>
      <c r="J105" s="67">
        <v>117258.3</v>
      </c>
      <c r="K105" s="67">
        <v>0</v>
      </c>
      <c r="L105" s="67">
        <v>117258.3</v>
      </c>
      <c r="M105" s="67">
        <v>99669.56</v>
      </c>
      <c r="N105" s="67">
        <f>L105-M105</f>
        <v>17588.740000000005</v>
      </c>
      <c r="O105" s="65">
        <v>0</v>
      </c>
      <c r="P105" s="84">
        <f t="shared" si="4"/>
        <v>1</v>
      </c>
      <c r="Q105" s="73"/>
      <c r="R105" s="73"/>
    </row>
    <row r="106" spans="1:18" customFormat="1" x14ac:dyDescent="0.3">
      <c r="A106" s="18" t="s">
        <v>7</v>
      </c>
      <c r="B106" s="18" t="s">
        <v>164</v>
      </c>
      <c r="C106" s="18">
        <v>500518</v>
      </c>
      <c r="D106" s="18" t="s">
        <v>169</v>
      </c>
      <c r="E106" s="131" t="s">
        <v>173</v>
      </c>
      <c r="F106" s="18" t="s">
        <v>692</v>
      </c>
      <c r="G106" s="18" t="s">
        <v>692</v>
      </c>
      <c r="H106" s="18" t="s">
        <v>692</v>
      </c>
      <c r="I106" s="18" t="s">
        <v>692</v>
      </c>
      <c r="J106" s="67">
        <v>30245.850000000002</v>
      </c>
      <c r="K106" s="67">
        <v>0</v>
      </c>
      <c r="L106" s="67">
        <v>30245.850000000002</v>
      </c>
      <c r="M106" s="67">
        <v>25708.9725</v>
      </c>
      <c r="N106" s="67">
        <v>4536.8775000000023</v>
      </c>
      <c r="O106" s="65">
        <v>0</v>
      </c>
      <c r="P106" s="84">
        <f t="shared" si="4"/>
        <v>1</v>
      </c>
      <c r="Q106" s="73"/>
      <c r="R106" s="73"/>
    </row>
    <row r="107" spans="1:18" customFormat="1" x14ac:dyDescent="0.3">
      <c r="A107" s="18" t="s">
        <v>7</v>
      </c>
      <c r="B107" s="18" t="s">
        <v>164</v>
      </c>
      <c r="C107" s="18">
        <v>500518</v>
      </c>
      <c r="D107" s="18" t="s">
        <v>169</v>
      </c>
      <c r="E107" s="131" t="s">
        <v>174</v>
      </c>
      <c r="F107" s="18" t="s">
        <v>692</v>
      </c>
      <c r="G107" s="18" t="s">
        <v>692</v>
      </c>
      <c r="H107" s="18" t="s">
        <v>692</v>
      </c>
      <c r="I107" s="18" t="s">
        <v>692</v>
      </c>
      <c r="J107" s="67">
        <v>75825.209999999992</v>
      </c>
      <c r="K107" s="67">
        <v>0</v>
      </c>
      <c r="L107" s="67">
        <v>75825.209999999992</v>
      </c>
      <c r="M107" s="67">
        <v>64451.428499999995</v>
      </c>
      <c r="N107" s="67">
        <v>11373.781499999997</v>
      </c>
      <c r="O107" s="65">
        <v>0</v>
      </c>
      <c r="P107" s="84">
        <f t="shared" si="4"/>
        <v>1</v>
      </c>
      <c r="Q107" s="73"/>
      <c r="R107" s="73"/>
    </row>
    <row r="108" spans="1:18" customFormat="1" x14ac:dyDescent="0.3">
      <c r="A108" s="18" t="s">
        <v>7</v>
      </c>
      <c r="B108" s="18" t="s">
        <v>164</v>
      </c>
      <c r="C108" s="18">
        <v>500518</v>
      </c>
      <c r="D108" s="18" t="s">
        <v>169</v>
      </c>
      <c r="E108" s="131" t="s">
        <v>175</v>
      </c>
      <c r="F108" s="18" t="s">
        <v>692</v>
      </c>
      <c r="G108" s="18" t="s">
        <v>692</v>
      </c>
      <c r="H108" s="18" t="s">
        <v>692</v>
      </c>
      <c r="I108" s="18" t="s">
        <v>692</v>
      </c>
      <c r="J108" s="67">
        <v>65662.600000000006</v>
      </c>
      <c r="K108" s="67">
        <v>0</v>
      </c>
      <c r="L108" s="67">
        <v>65662.600000000006</v>
      </c>
      <c r="M108" s="67">
        <v>55813.210000000006</v>
      </c>
      <c r="N108" s="67">
        <v>9849.39</v>
      </c>
      <c r="O108" s="65">
        <v>0</v>
      </c>
      <c r="P108" s="84">
        <f t="shared" si="4"/>
        <v>1</v>
      </c>
      <c r="Q108" s="73"/>
      <c r="R108" s="73"/>
    </row>
    <row r="109" spans="1:18" customFormat="1" x14ac:dyDescent="0.3">
      <c r="A109" s="18" t="s">
        <v>7</v>
      </c>
      <c r="B109" s="18" t="s">
        <v>164</v>
      </c>
      <c r="C109" s="18">
        <v>544105</v>
      </c>
      <c r="D109" s="18" t="s">
        <v>176</v>
      </c>
      <c r="E109" s="131" t="s">
        <v>177</v>
      </c>
      <c r="F109" s="18" t="s">
        <v>692</v>
      </c>
      <c r="G109" s="18" t="s">
        <v>692</v>
      </c>
      <c r="H109" s="18" t="s">
        <v>692</v>
      </c>
      <c r="I109" s="18" t="s">
        <v>692</v>
      </c>
      <c r="J109" s="67">
        <v>276750</v>
      </c>
      <c r="K109" s="67">
        <v>0</v>
      </c>
      <c r="L109" s="67">
        <v>276750</v>
      </c>
      <c r="M109" s="67">
        <v>235237.5</v>
      </c>
      <c r="N109" s="67">
        <v>41512.5</v>
      </c>
      <c r="O109" s="65">
        <v>0</v>
      </c>
      <c r="P109" s="84">
        <f t="shared" si="4"/>
        <v>1</v>
      </c>
      <c r="Q109" s="73"/>
      <c r="R109" s="73"/>
    </row>
    <row r="110" spans="1:18" customFormat="1" x14ac:dyDescent="0.3">
      <c r="A110" s="18" t="s">
        <v>7</v>
      </c>
      <c r="B110" s="18" t="s">
        <v>164</v>
      </c>
      <c r="C110" s="18">
        <v>544105</v>
      </c>
      <c r="D110" s="18" t="s">
        <v>176</v>
      </c>
      <c r="E110" s="131" t="s">
        <v>178</v>
      </c>
      <c r="F110" s="18" t="s">
        <v>692</v>
      </c>
      <c r="G110" s="18" t="s">
        <v>692</v>
      </c>
      <c r="H110" s="18" t="s">
        <v>692</v>
      </c>
      <c r="I110" s="18" t="s">
        <v>692</v>
      </c>
      <c r="J110" s="67">
        <v>61500</v>
      </c>
      <c r="K110" s="67">
        <v>0</v>
      </c>
      <c r="L110" s="67">
        <v>61500</v>
      </c>
      <c r="M110" s="67">
        <v>52275</v>
      </c>
      <c r="N110" s="67">
        <v>9225</v>
      </c>
      <c r="O110" s="65">
        <v>0</v>
      </c>
      <c r="P110" s="84">
        <f t="shared" si="4"/>
        <v>1</v>
      </c>
      <c r="Q110" s="73"/>
      <c r="R110" s="73"/>
    </row>
    <row r="111" spans="1:18" customFormat="1" x14ac:dyDescent="0.3">
      <c r="A111" s="18" t="s">
        <v>7</v>
      </c>
      <c r="B111" s="18" t="s">
        <v>164</v>
      </c>
      <c r="C111" s="18">
        <v>544105</v>
      </c>
      <c r="D111" s="18" t="s">
        <v>176</v>
      </c>
      <c r="E111" s="131" t="s">
        <v>179</v>
      </c>
      <c r="F111" s="18" t="s">
        <v>692</v>
      </c>
      <c r="G111" s="18">
        <v>3286</v>
      </c>
      <c r="H111" s="18">
        <v>422164</v>
      </c>
      <c r="I111" s="18">
        <v>749850</v>
      </c>
      <c r="J111" s="67">
        <v>156115.78</v>
      </c>
      <c r="K111" s="67">
        <v>31223.179999999993</v>
      </c>
      <c r="L111" s="67">
        <v>124892.6</v>
      </c>
      <c r="M111" s="67">
        <v>124892.6</v>
      </c>
      <c r="N111" s="67">
        <v>0</v>
      </c>
      <c r="O111" s="65">
        <v>0</v>
      </c>
      <c r="P111" s="84">
        <f t="shared" si="4"/>
        <v>0.79999984626794296</v>
      </c>
      <c r="Q111" s="73"/>
      <c r="R111" s="73"/>
    </row>
    <row r="112" spans="1:18" customFormat="1" x14ac:dyDescent="0.3">
      <c r="A112" s="18" t="s">
        <v>7</v>
      </c>
      <c r="B112" s="18" t="s">
        <v>164</v>
      </c>
      <c r="C112" s="18">
        <v>544105</v>
      </c>
      <c r="D112" s="18" t="s">
        <v>176</v>
      </c>
      <c r="E112" s="131" t="s">
        <v>180</v>
      </c>
      <c r="F112" s="11" t="s">
        <v>692</v>
      </c>
      <c r="G112" s="11" t="s">
        <v>692</v>
      </c>
      <c r="H112" s="11" t="s">
        <v>692</v>
      </c>
      <c r="I112" s="11" t="s">
        <v>692</v>
      </c>
      <c r="J112" s="67">
        <v>29434.85</v>
      </c>
      <c r="K112" s="67">
        <v>0</v>
      </c>
      <c r="L112" s="67">
        <v>29434.85</v>
      </c>
      <c r="M112" s="67">
        <v>25019.622499999998</v>
      </c>
      <c r="N112" s="67">
        <v>4415.2275000000009</v>
      </c>
      <c r="O112" s="65">
        <v>0</v>
      </c>
      <c r="P112" s="84">
        <f t="shared" si="4"/>
        <v>1</v>
      </c>
      <c r="Q112" s="73"/>
      <c r="R112" s="73"/>
    </row>
    <row r="113" spans="1:18" customFormat="1" ht="29.55" x14ac:dyDescent="0.3">
      <c r="A113" s="18" t="s">
        <v>7</v>
      </c>
      <c r="B113" s="18" t="s">
        <v>164</v>
      </c>
      <c r="C113" s="11">
        <v>599030</v>
      </c>
      <c r="D113" s="11" t="s">
        <v>181</v>
      </c>
      <c r="E113" s="117" t="s">
        <v>182</v>
      </c>
      <c r="F113" s="11" t="s">
        <v>692</v>
      </c>
      <c r="G113" s="11" t="s">
        <v>692</v>
      </c>
      <c r="H113" s="11" t="s">
        <v>692</v>
      </c>
      <c r="I113" s="11" t="s">
        <v>692</v>
      </c>
      <c r="J113" s="67">
        <f>218940+283.68</f>
        <v>219223.67999999999</v>
      </c>
      <c r="K113" s="67">
        <v>0</v>
      </c>
      <c r="L113" s="67">
        <f>218940+283.68</f>
        <v>219223.67999999999</v>
      </c>
      <c r="M113" s="67">
        <f>L113*0.85</f>
        <v>186340.128</v>
      </c>
      <c r="N113" s="67">
        <f>L113-M113</f>
        <v>32883.551999999996</v>
      </c>
      <c r="O113" s="65">
        <v>0</v>
      </c>
      <c r="P113" s="84">
        <f t="shared" si="4"/>
        <v>1</v>
      </c>
      <c r="Q113" s="73"/>
      <c r="R113" s="73"/>
    </row>
    <row r="114" spans="1:18" customFormat="1" ht="29.55" x14ac:dyDescent="0.3">
      <c r="A114" s="18" t="s">
        <v>7</v>
      </c>
      <c r="B114" s="18" t="s">
        <v>164</v>
      </c>
      <c r="C114" s="11">
        <v>599030</v>
      </c>
      <c r="D114" s="11" t="s">
        <v>181</v>
      </c>
      <c r="E114" s="117" t="s">
        <v>183</v>
      </c>
      <c r="F114" s="11" t="s">
        <v>692</v>
      </c>
      <c r="G114" s="11" t="s">
        <v>692</v>
      </c>
      <c r="H114" s="11" t="s">
        <v>692</v>
      </c>
      <c r="I114" s="11" t="s">
        <v>692</v>
      </c>
      <c r="J114" s="67">
        <f>259997+18437.23</f>
        <v>278434.23</v>
      </c>
      <c r="K114" s="67">
        <f>J114-L114</f>
        <v>41765.139999999985</v>
      </c>
      <c r="L114" s="67">
        <f>220997+15672.09</f>
        <v>236669.09</v>
      </c>
      <c r="M114" s="67">
        <f>L114</f>
        <v>236669.09</v>
      </c>
      <c r="N114" s="67">
        <v>0</v>
      </c>
      <c r="O114" s="65">
        <v>0</v>
      </c>
      <c r="P114" s="84">
        <f t="shared" si="4"/>
        <v>0.84999998024668166</v>
      </c>
      <c r="Q114" s="73"/>
      <c r="R114" s="73"/>
    </row>
    <row r="115" spans="1:18" customFormat="1" x14ac:dyDescent="0.3">
      <c r="A115" s="18" t="s">
        <v>7</v>
      </c>
      <c r="B115" s="18" t="s">
        <v>164</v>
      </c>
      <c r="C115" s="11">
        <v>599030</v>
      </c>
      <c r="D115" s="11" t="s">
        <v>181</v>
      </c>
      <c r="E115" s="117" t="s">
        <v>184</v>
      </c>
      <c r="F115" s="11" t="s">
        <v>692</v>
      </c>
      <c r="G115" s="11" t="s">
        <v>692</v>
      </c>
      <c r="H115" s="11" t="s">
        <v>692</v>
      </c>
      <c r="I115" s="11" t="s">
        <v>692</v>
      </c>
      <c r="J115" s="67">
        <f>314366-6404.72</f>
        <v>307961.28000000003</v>
      </c>
      <c r="K115" s="67">
        <f>J115-L115</f>
        <v>46194.190000000031</v>
      </c>
      <c r="L115" s="67">
        <f>267211-5443.91</f>
        <v>261767.09</v>
      </c>
      <c r="M115" s="67">
        <f>L115</f>
        <v>261767.09</v>
      </c>
      <c r="N115" s="67">
        <v>0</v>
      </c>
      <c r="O115" s="65">
        <v>0</v>
      </c>
      <c r="P115" s="84">
        <f t="shared" si="4"/>
        <v>0.85000000649432284</v>
      </c>
      <c r="Q115" s="73"/>
      <c r="R115" s="73"/>
    </row>
    <row r="116" spans="1:18" customFormat="1" x14ac:dyDescent="0.3">
      <c r="A116" s="18" t="s">
        <v>7</v>
      </c>
      <c r="B116" s="18" t="s">
        <v>164</v>
      </c>
      <c r="C116" s="11">
        <v>599030</v>
      </c>
      <c r="D116" s="11" t="s">
        <v>181</v>
      </c>
      <c r="E116" s="117" t="s">
        <v>185</v>
      </c>
      <c r="F116" s="11" t="s">
        <v>692</v>
      </c>
      <c r="G116" s="11" t="s">
        <v>692</v>
      </c>
      <c r="H116" s="11" t="s">
        <v>692</v>
      </c>
      <c r="I116" s="11" t="s">
        <v>692</v>
      </c>
      <c r="J116" s="67">
        <f>560375-25887.4</f>
        <v>534487.6</v>
      </c>
      <c r="K116" s="67">
        <f>J116-L116</f>
        <v>0</v>
      </c>
      <c r="L116" s="67">
        <f>560375-25887.4</f>
        <v>534487.6</v>
      </c>
      <c r="M116" s="67">
        <f>L116*0.85</f>
        <v>454314.45999999996</v>
      </c>
      <c r="N116" s="67">
        <f>L116-M116</f>
        <v>80173.140000000014</v>
      </c>
      <c r="O116" s="65">
        <v>0</v>
      </c>
      <c r="P116" s="84">
        <f t="shared" si="4"/>
        <v>1</v>
      </c>
      <c r="Q116" s="73"/>
      <c r="R116" s="73"/>
    </row>
    <row r="117" spans="1:18" customFormat="1" ht="29.55" x14ac:dyDescent="0.3">
      <c r="A117" s="18" t="s">
        <v>7</v>
      </c>
      <c r="B117" s="18" t="s">
        <v>164</v>
      </c>
      <c r="C117" s="11">
        <v>599030</v>
      </c>
      <c r="D117" s="11" t="s">
        <v>181</v>
      </c>
      <c r="E117" s="117" t="s">
        <v>186</v>
      </c>
      <c r="F117" s="11" t="s">
        <v>692</v>
      </c>
      <c r="G117" s="11" t="s">
        <v>692</v>
      </c>
      <c r="H117" s="11" t="s">
        <v>692</v>
      </c>
      <c r="I117" s="11" t="s">
        <v>692</v>
      </c>
      <c r="J117" s="67">
        <f>25075+263</f>
        <v>25338</v>
      </c>
      <c r="K117" s="67">
        <f>J117-L117</f>
        <v>3800.7000000000007</v>
      </c>
      <c r="L117" s="67">
        <f>21314+223.3</f>
        <v>21537.3</v>
      </c>
      <c r="M117" s="67">
        <f>L117</f>
        <v>21537.3</v>
      </c>
      <c r="N117" s="67">
        <v>0</v>
      </c>
      <c r="O117" s="65">
        <v>0</v>
      </c>
      <c r="P117" s="84">
        <f t="shared" si="4"/>
        <v>0.85</v>
      </c>
      <c r="Q117" s="73"/>
      <c r="R117" s="73"/>
    </row>
    <row r="118" spans="1:18" customFormat="1" x14ac:dyDescent="0.3">
      <c r="A118" s="18" t="s">
        <v>7</v>
      </c>
      <c r="B118" s="18" t="s">
        <v>164</v>
      </c>
      <c r="C118" s="11">
        <v>599030</v>
      </c>
      <c r="D118" s="11" t="s">
        <v>181</v>
      </c>
      <c r="E118" s="117" t="s">
        <v>187</v>
      </c>
      <c r="F118" s="11" t="s">
        <v>692</v>
      </c>
      <c r="G118" s="11" t="s">
        <v>692</v>
      </c>
      <c r="H118" s="11" t="s">
        <v>692</v>
      </c>
      <c r="I118" s="11" t="s">
        <v>692</v>
      </c>
      <c r="J118" s="67">
        <f>409005.09+12596.55</f>
        <v>421601.64</v>
      </c>
      <c r="K118" s="67">
        <v>0</v>
      </c>
      <c r="L118" s="67">
        <f>409005.09+12596.55</f>
        <v>421601.64</v>
      </c>
      <c r="M118" s="67">
        <f>L118*0.85</f>
        <v>358361.39400000003</v>
      </c>
      <c r="N118" s="67">
        <f>L118-M118</f>
        <v>63240.245999999985</v>
      </c>
      <c r="O118" s="65">
        <v>0</v>
      </c>
      <c r="P118" s="84">
        <f t="shared" si="4"/>
        <v>1</v>
      </c>
      <c r="Q118" s="73"/>
      <c r="R118" s="73"/>
    </row>
    <row r="119" spans="1:18" customFormat="1" x14ac:dyDescent="0.3">
      <c r="A119" s="18" t="s">
        <v>7</v>
      </c>
      <c r="B119" s="18" t="s">
        <v>164</v>
      </c>
      <c r="C119" s="11">
        <v>573284</v>
      </c>
      <c r="D119" s="11" t="s">
        <v>188</v>
      </c>
      <c r="E119" s="117" t="s">
        <v>189</v>
      </c>
      <c r="F119" s="11" t="s">
        <v>692</v>
      </c>
      <c r="G119" s="11" t="s">
        <v>692</v>
      </c>
      <c r="H119" s="11" t="s">
        <v>692</v>
      </c>
      <c r="I119" s="11" t="s">
        <v>692</v>
      </c>
      <c r="J119" s="67">
        <v>1320000</v>
      </c>
      <c r="K119" s="67">
        <v>0</v>
      </c>
      <c r="L119" s="67">
        <v>1320000</v>
      </c>
      <c r="M119" s="67">
        <v>1122000</v>
      </c>
      <c r="N119" s="67">
        <v>198000</v>
      </c>
      <c r="O119" s="65">
        <v>0</v>
      </c>
      <c r="P119" s="84">
        <f t="shared" si="4"/>
        <v>1</v>
      </c>
      <c r="Q119" s="73"/>
      <c r="R119" s="73"/>
    </row>
    <row r="120" spans="1:18" customFormat="1" ht="29.55" x14ac:dyDescent="0.3">
      <c r="A120" s="18" t="s">
        <v>7</v>
      </c>
      <c r="B120" s="18" t="s">
        <v>164</v>
      </c>
      <c r="C120" s="11">
        <v>573284</v>
      </c>
      <c r="D120" s="11" t="s">
        <v>188</v>
      </c>
      <c r="E120" s="117" t="s">
        <v>190</v>
      </c>
      <c r="F120" s="11" t="s">
        <v>692</v>
      </c>
      <c r="G120" s="11" t="s">
        <v>692</v>
      </c>
      <c r="H120" s="11" t="s">
        <v>692</v>
      </c>
      <c r="I120" s="11" t="s">
        <v>692</v>
      </c>
      <c r="J120" s="67">
        <v>79950</v>
      </c>
      <c r="K120" s="67">
        <v>0</v>
      </c>
      <c r="L120" s="67">
        <v>79950</v>
      </c>
      <c r="M120" s="67">
        <v>67957.5</v>
      </c>
      <c r="N120" s="67">
        <v>11992.5</v>
      </c>
      <c r="O120" s="65">
        <v>0</v>
      </c>
      <c r="P120" s="84">
        <f t="shared" si="4"/>
        <v>1</v>
      </c>
      <c r="Q120" s="73"/>
      <c r="R120" s="73"/>
    </row>
    <row r="121" spans="1:18" customFormat="1" ht="29.55" x14ac:dyDescent="0.3">
      <c r="A121" s="18" t="s">
        <v>7</v>
      </c>
      <c r="B121" s="18" t="s">
        <v>164</v>
      </c>
      <c r="C121" s="11">
        <v>582413</v>
      </c>
      <c r="D121" s="11" t="s">
        <v>191</v>
      </c>
      <c r="E121" s="117" t="s">
        <v>192</v>
      </c>
      <c r="F121" s="49" t="s">
        <v>692</v>
      </c>
      <c r="G121" s="49" t="s">
        <v>692</v>
      </c>
      <c r="H121" s="49" t="s">
        <v>692</v>
      </c>
      <c r="I121" s="49" t="s">
        <v>692</v>
      </c>
      <c r="J121" s="67">
        <v>568879.14</v>
      </c>
      <c r="K121" s="67">
        <v>0</v>
      </c>
      <c r="L121" s="67">
        <v>568879.14</v>
      </c>
      <c r="M121" s="67">
        <v>483547.26899999997</v>
      </c>
      <c r="N121" s="67">
        <v>85331.871000000043</v>
      </c>
      <c r="O121" s="65">
        <v>0</v>
      </c>
      <c r="P121" s="84">
        <f t="shared" si="4"/>
        <v>1</v>
      </c>
      <c r="Q121" s="73"/>
      <c r="R121" s="73"/>
    </row>
    <row r="122" spans="1:18" customFormat="1" ht="29.55" x14ac:dyDescent="0.3">
      <c r="A122" s="18" t="s">
        <v>7</v>
      </c>
      <c r="B122" s="18" t="s">
        <v>164</v>
      </c>
      <c r="C122" s="11">
        <v>582413</v>
      </c>
      <c r="D122" s="11" t="s">
        <v>191</v>
      </c>
      <c r="E122" s="118" t="s">
        <v>193</v>
      </c>
      <c r="F122" s="49" t="s">
        <v>692</v>
      </c>
      <c r="G122" s="49" t="s">
        <v>692</v>
      </c>
      <c r="H122" s="49" t="s">
        <v>692</v>
      </c>
      <c r="I122" s="49" t="s">
        <v>692</v>
      </c>
      <c r="J122" s="67">
        <v>119999.99</v>
      </c>
      <c r="K122" s="67">
        <v>0</v>
      </c>
      <c r="L122" s="67">
        <v>119999.99</v>
      </c>
      <c r="M122" s="67">
        <v>101999.9915</v>
      </c>
      <c r="N122" s="67">
        <v>17999.998500000002</v>
      </c>
      <c r="O122" s="65">
        <v>0</v>
      </c>
      <c r="P122" s="84">
        <f t="shared" si="4"/>
        <v>1</v>
      </c>
      <c r="Q122" s="73"/>
      <c r="R122" s="73"/>
    </row>
    <row r="123" spans="1:18" customFormat="1" x14ac:dyDescent="0.3">
      <c r="A123" s="18" t="s">
        <v>7</v>
      </c>
      <c r="B123" s="18" t="s">
        <v>164</v>
      </c>
      <c r="C123" s="11">
        <v>582413</v>
      </c>
      <c r="D123" s="11" t="s">
        <v>191</v>
      </c>
      <c r="E123" s="118" t="s">
        <v>194</v>
      </c>
      <c r="F123" s="49" t="s">
        <v>692</v>
      </c>
      <c r="G123" s="49" t="s">
        <v>692</v>
      </c>
      <c r="H123" s="49" t="s">
        <v>692</v>
      </c>
      <c r="I123" s="49" t="s">
        <v>692</v>
      </c>
      <c r="J123" s="67">
        <v>39999.99</v>
      </c>
      <c r="K123" s="67">
        <v>0</v>
      </c>
      <c r="L123" s="67">
        <v>39999.99</v>
      </c>
      <c r="M123" s="67">
        <v>33999.991499999996</v>
      </c>
      <c r="N123" s="67">
        <v>5999.9985000000015</v>
      </c>
      <c r="O123" s="65">
        <v>0</v>
      </c>
      <c r="P123" s="84">
        <f t="shared" si="4"/>
        <v>1</v>
      </c>
      <c r="Q123" s="73"/>
      <c r="R123" s="73"/>
    </row>
    <row r="124" spans="1:18" customFormat="1" ht="29.55" x14ac:dyDescent="0.3">
      <c r="A124" s="18" t="s">
        <v>7</v>
      </c>
      <c r="B124" s="18" t="s">
        <v>164</v>
      </c>
      <c r="C124" s="11">
        <v>582413</v>
      </c>
      <c r="D124" s="11" t="s">
        <v>191</v>
      </c>
      <c r="E124" s="118" t="s">
        <v>195</v>
      </c>
      <c r="F124" s="49" t="s">
        <v>692</v>
      </c>
      <c r="G124" s="49" t="s">
        <v>692</v>
      </c>
      <c r="H124" s="49" t="s">
        <v>692</v>
      </c>
      <c r="I124" s="49" t="s">
        <v>692</v>
      </c>
      <c r="J124" s="67">
        <v>36000</v>
      </c>
      <c r="K124" s="67">
        <v>0</v>
      </c>
      <c r="L124" s="67">
        <v>36000</v>
      </c>
      <c r="M124" s="67">
        <v>30600</v>
      </c>
      <c r="N124" s="67">
        <v>5400</v>
      </c>
      <c r="O124" s="65">
        <v>0</v>
      </c>
      <c r="P124" s="84">
        <f t="shared" si="4"/>
        <v>1</v>
      </c>
      <c r="Q124" s="73"/>
      <c r="R124" s="73"/>
    </row>
    <row r="125" spans="1:18" customFormat="1" x14ac:dyDescent="0.3">
      <c r="A125" s="18" t="s">
        <v>7</v>
      </c>
      <c r="B125" s="18" t="s">
        <v>164</v>
      </c>
      <c r="C125" s="11">
        <v>582413</v>
      </c>
      <c r="D125" s="11" t="s">
        <v>191</v>
      </c>
      <c r="E125" s="118" t="s">
        <v>196</v>
      </c>
      <c r="F125" s="11" t="s">
        <v>692</v>
      </c>
      <c r="G125" s="11" t="s">
        <v>692</v>
      </c>
      <c r="H125" s="11" t="s">
        <v>692</v>
      </c>
      <c r="I125" s="11" t="s">
        <v>692</v>
      </c>
      <c r="J125" s="67">
        <v>49999.99</v>
      </c>
      <c r="K125" s="67">
        <v>0</v>
      </c>
      <c r="L125" s="67">
        <v>49999.99</v>
      </c>
      <c r="M125" s="67">
        <v>42499.991499999996</v>
      </c>
      <c r="N125" s="67">
        <v>7499.9985000000015</v>
      </c>
      <c r="O125" s="65">
        <v>0</v>
      </c>
      <c r="P125" s="84">
        <f t="shared" si="4"/>
        <v>1</v>
      </c>
      <c r="Q125" s="73"/>
      <c r="R125" s="73"/>
    </row>
    <row r="126" spans="1:18" customFormat="1" ht="29.55" x14ac:dyDescent="0.3">
      <c r="A126" s="18" t="s">
        <v>7</v>
      </c>
      <c r="B126" s="18" t="s">
        <v>164</v>
      </c>
      <c r="C126" s="11">
        <v>582413</v>
      </c>
      <c r="D126" s="11" t="s">
        <v>191</v>
      </c>
      <c r="E126" s="117" t="s">
        <v>197</v>
      </c>
      <c r="F126" s="11" t="s">
        <v>692</v>
      </c>
      <c r="G126" s="11" t="s">
        <v>692</v>
      </c>
      <c r="H126" s="11" t="s">
        <v>692</v>
      </c>
      <c r="I126" s="11" t="s">
        <v>692</v>
      </c>
      <c r="J126" s="67">
        <v>39999.99</v>
      </c>
      <c r="K126" s="67">
        <v>0</v>
      </c>
      <c r="L126" s="67">
        <v>39999.99</v>
      </c>
      <c r="M126" s="67">
        <v>33999.991499999996</v>
      </c>
      <c r="N126" s="67">
        <v>5999.9985000000015</v>
      </c>
      <c r="O126" s="65">
        <v>0</v>
      </c>
      <c r="P126" s="84">
        <f t="shared" si="4"/>
        <v>1</v>
      </c>
      <c r="Q126" s="73"/>
      <c r="R126" s="73"/>
    </row>
    <row r="127" spans="1:18" customFormat="1" ht="29.55" x14ac:dyDescent="0.3">
      <c r="A127" s="18" t="s">
        <v>7</v>
      </c>
      <c r="B127" s="18" t="s">
        <v>164</v>
      </c>
      <c r="C127" s="11">
        <v>582413</v>
      </c>
      <c r="D127" s="11" t="s">
        <v>191</v>
      </c>
      <c r="E127" s="117" t="s">
        <v>190</v>
      </c>
      <c r="F127" s="11" t="s">
        <v>692</v>
      </c>
      <c r="G127" s="11" t="s">
        <v>692</v>
      </c>
      <c r="H127" s="11" t="s">
        <v>692</v>
      </c>
      <c r="I127" s="11" t="s">
        <v>692</v>
      </c>
      <c r="J127" s="67">
        <v>44999.99</v>
      </c>
      <c r="K127" s="67">
        <v>0</v>
      </c>
      <c r="L127" s="67">
        <v>44999.99</v>
      </c>
      <c r="M127" s="67">
        <v>38249.991499999996</v>
      </c>
      <c r="N127" s="67">
        <v>6749.9985000000015</v>
      </c>
      <c r="O127" s="65">
        <v>0</v>
      </c>
      <c r="P127" s="84">
        <f t="shared" si="4"/>
        <v>1</v>
      </c>
      <c r="Q127" s="73"/>
      <c r="R127" s="73"/>
    </row>
    <row r="128" spans="1:18" customFormat="1" ht="44.35" x14ac:dyDescent="0.3">
      <c r="A128" s="18" t="s">
        <v>7</v>
      </c>
      <c r="B128" s="18" t="s">
        <v>164</v>
      </c>
      <c r="C128" s="11">
        <v>551749</v>
      </c>
      <c r="D128" s="11" t="s">
        <v>198</v>
      </c>
      <c r="E128" s="117" t="s">
        <v>199</v>
      </c>
      <c r="F128" s="11" t="s">
        <v>692</v>
      </c>
      <c r="G128" s="11" t="s">
        <v>692</v>
      </c>
      <c r="H128" s="11" t="s">
        <v>692</v>
      </c>
      <c r="I128" s="11" t="s">
        <v>692</v>
      </c>
      <c r="J128" s="67">
        <f>684470+46296.5-32.1</f>
        <v>730734.4</v>
      </c>
      <c r="K128" s="67">
        <v>0</v>
      </c>
      <c r="L128" s="67">
        <f>684470+46296.5-32.1</f>
        <v>730734.4</v>
      </c>
      <c r="M128" s="67">
        <f t="shared" ref="M128:M133" si="5">L128*0.85</f>
        <v>621124.24</v>
      </c>
      <c r="N128" s="67">
        <f t="shared" ref="N128:N133" si="6">L128-M128</f>
        <v>109610.16000000003</v>
      </c>
      <c r="O128" s="65">
        <v>0</v>
      </c>
      <c r="P128" s="84">
        <f t="shared" si="4"/>
        <v>1</v>
      </c>
      <c r="Q128" s="73"/>
      <c r="R128" s="73"/>
    </row>
    <row r="129" spans="1:18" customFormat="1" x14ac:dyDescent="0.3">
      <c r="A129" s="18" t="s">
        <v>7</v>
      </c>
      <c r="B129" s="18" t="s">
        <v>164</v>
      </c>
      <c r="C129" s="11">
        <v>551749</v>
      </c>
      <c r="D129" s="11" t="s">
        <v>198</v>
      </c>
      <c r="E129" s="117" t="s">
        <v>200</v>
      </c>
      <c r="F129" s="11" t="s">
        <v>692</v>
      </c>
      <c r="G129" s="11" t="s">
        <v>692</v>
      </c>
      <c r="H129" s="11" t="s">
        <v>692</v>
      </c>
      <c r="I129" s="11" t="s">
        <v>692</v>
      </c>
      <c r="J129" s="67">
        <f>320046+135.93</f>
        <v>320181.93</v>
      </c>
      <c r="K129" s="67">
        <v>0</v>
      </c>
      <c r="L129" s="67">
        <f>320046+135.93</f>
        <v>320181.93</v>
      </c>
      <c r="M129" s="67">
        <f t="shared" si="5"/>
        <v>272154.64049999998</v>
      </c>
      <c r="N129" s="67">
        <f t="shared" si="6"/>
        <v>48027.289500000014</v>
      </c>
      <c r="O129" s="65">
        <v>0</v>
      </c>
      <c r="P129" s="84">
        <f t="shared" si="4"/>
        <v>1</v>
      </c>
      <c r="Q129" s="73"/>
      <c r="R129" s="73"/>
    </row>
    <row r="130" spans="1:18" customFormat="1" x14ac:dyDescent="0.3">
      <c r="A130" s="18" t="s">
        <v>7</v>
      </c>
      <c r="B130" s="18" t="s">
        <v>164</v>
      </c>
      <c r="C130" s="11">
        <v>551749</v>
      </c>
      <c r="D130" s="11" t="s">
        <v>198</v>
      </c>
      <c r="E130" s="117" t="s">
        <v>201</v>
      </c>
      <c r="F130" s="11" t="s">
        <v>692</v>
      </c>
      <c r="G130" s="11" t="s">
        <v>692</v>
      </c>
      <c r="H130" s="11" t="s">
        <v>692</v>
      </c>
      <c r="I130" s="11" t="s">
        <v>692</v>
      </c>
      <c r="J130" s="67">
        <f>238240.65-27695.5</f>
        <v>210545.15</v>
      </c>
      <c r="K130" s="67">
        <v>0</v>
      </c>
      <c r="L130" s="67">
        <f>238240.65-27695.5</f>
        <v>210545.15</v>
      </c>
      <c r="M130" s="67">
        <f t="shared" si="5"/>
        <v>178963.3775</v>
      </c>
      <c r="N130" s="67">
        <f t="shared" si="6"/>
        <v>31581.772499999992</v>
      </c>
      <c r="O130" s="65">
        <v>0</v>
      </c>
      <c r="P130" s="84">
        <f t="shared" si="4"/>
        <v>1</v>
      </c>
      <c r="Q130" s="73"/>
      <c r="R130" s="73"/>
    </row>
    <row r="131" spans="1:18" customFormat="1" x14ac:dyDescent="0.3">
      <c r="A131" s="18" t="s">
        <v>7</v>
      </c>
      <c r="B131" s="18" t="s">
        <v>164</v>
      </c>
      <c r="C131" s="11">
        <v>551749</v>
      </c>
      <c r="D131" s="11" t="s">
        <v>198</v>
      </c>
      <c r="E131" s="117" t="s">
        <v>202</v>
      </c>
      <c r="F131" s="11" t="s">
        <v>692</v>
      </c>
      <c r="G131" s="11" t="s">
        <v>692</v>
      </c>
      <c r="H131" s="11" t="s">
        <v>692</v>
      </c>
      <c r="I131" s="11" t="s">
        <v>692</v>
      </c>
      <c r="J131" s="67">
        <f>209838-22716.46</f>
        <v>187121.54</v>
      </c>
      <c r="K131" s="67">
        <v>0</v>
      </c>
      <c r="L131" s="67">
        <f>209838-22716.46</f>
        <v>187121.54</v>
      </c>
      <c r="M131" s="67">
        <f t="shared" si="5"/>
        <v>159053.30900000001</v>
      </c>
      <c r="N131" s="67">
        <f t="shared" si="6"/>
        <v>28068.231</v>
      </c>
      <c r="O131" s="65">
        <v>0</v>
      </c>
      <c r="P131" s="84">
        <f t="shared" ref="P131:P194" si="7">L131/J131</f>
        <v>1</v>
      </c>
      <c r="Q131" s="73"/>
      <c r="R131" s="73"/>
    </row>
    <row r="132" spans="1:18" customFormat="1" ht="29.55" x14ac:dyDescent="0.3">
      <c r="A132" s="18" t="s">
        <v>7</v>
      </c>
      <c r="B132" s="18" t="s">
        <v>164</v>
      </c>
      <c r="C132" s="11">
        <v>551749</v>
      </c>
      <c r="D132" s="11" t="s">
        <v>198</v>
      </c>
      <c r="E132" s="117" t="s">
        <v>203</v>
      </c>
      <c r="F132" s="18" t="s">
        <v>692</v>
      </c>
      <c r="G132" s="18" t="s">
        <v>692</v>
      </c>
      <c r="H132" s="18" t="s">
        <v>692</v>
      </c>
      <c r="I132" s="18" t="s">
        <v>692</v>
      </c>
      <c r="J132" s="67">
        <f>70544+798.12</f>
        <v>71342.12</v>
      </c>
      <c r="K132" s="67">
        <v>0</v>
      </c>
      <c r="L132" s="67">
        <f>70544+798.12</f>
        <v>71342.12</v>
      </c>
      <c r="M132" s="67">
        <f t="shared" si="5"/>
        <v>60640.801999999996</v>
      </c>
      <c r="N132" s="67">
        <f t="shared" si="6"/>
        <v>10701.317999999999</v>
      </c>
      <c r="O132" s="65">
        <v>0</v>
      </c>
      <c r="P132" s="84">
        <f t="shared" si="7"/>
        <v>1</v>
      </c>
      <c r="Q132" s="73"/>
      <c r="R132" s="73"/>
    </row>
    <row r="133" spans="1:18" customFormat="1" x14ac:dyDescent="0.3">
      <c r="A133" s="18" t="s">
        <v>7</v>
      </c>
      <c r="B133" s="18" t="s">
        <v>164</v>
      </c>
      <c r="C133" s="11">
        <v>551749</v>
      </c>
      <c r="D133" s="11" t="s">
        <v>198</v>
      </c>
      <c r="E133" s="131" t="s">
        <v>22</v>
      </c>
      <c r="F133" s="11" t="s">
        <v>692</v>
      </c>
      <c r="G133" s="11" t="s">
        <v>692</v>
      </c>
      <c r="H133" s="11" t="s">
        <v>692</v>
      </c>
      <c r="I133" s="11" t="s">
        <v>692</v>
      </c>
      <c r="J133" s="67">
        <f>161130-610.4</f>
        <v>160519.6</v>
      </c>
      <c r="K133" s="67">
        <v>0</v>
      </c>
      <c r="L133" s="67">
        <f>161130-610.4</f>
        <v>160519.6</v>
      </c>
      <c r="M133" s="67">
        <f t="shared" si="5"/>
        <v>136441.66</v>
      </c>
      <c r="N133" s="67">
        <f t="shared" si="6"/>
        <v>24077.940000000002</v>
      </c>
      <c r="O133" s="65">
        <v>0</v>
      </c>
      <c r="P133" s="84">
        <f t="shared" si="7"/>
        <v>1</v>
      </c>
      <c r="Q133" s="73"/>
      <c r="R133" s="73"/>
    </row>
    <row r="134" spans="1:18" customFormat="1" x14ac:dyDescent="0.3">
      <c r="A134" s="18" t="s">
        <v>7</v>
      </c>
      <c r="B134" s="18" t="s">
        <v>164</v>
      </c>
      <c r="C134" s="11">
        <v>473458</v>
      </c>
      <c r="D134" s="11" t="s">
        <v>204</v>
      </c>
      <c r="E134" s="117" t="s">
        <v>205</v>
      </c>
      <c r="F134" s="11" t="s">
        <v>692</v>
      </c>
      <c r="G134" s="11" t="s">
        <v>692</v>
      </c>
      <c r="H134" s="11" t="s">
        <v>692</v>
      </c>
      <c r="I134" s="11" t="s">
        <v>692</v>
      </c>
      <c r="J134" s="67">
        <v>662551.80000000005</v>
      </c>
      <c r="K134" s="67">
        <v>0</v>
      </c>
      <c r="L134" s="67">
        <v>662551.80000000005</v>
      </c>
      <c r="M134" s="67">
        <v>563169.03</v>
      </c>
      <c r="N134" s="67">
        <v>99382.770000000019</v>
      </c>
      <c r="O134" s="65">
        <v>0</v>
      </c>
      <c r="P134" s="84">
        <f t="shared" si="7"/>
        <v>1</v>
      </c>
      <c r="Q134" s="73"/>
      <c r="R134" s="73"/>
    </row>
    <row r="135" spans="1:18" customFormat="1" ht="29.55" x14ac:dyDescent="0.3">
      <c r="A135" s="18" t="s">
        <v>7</v>
      </c>
      <c r="B135" s="18" t="s">
        <v>164</v>
      </c>
      <c r="C135" s="11">
        <v>473458</v>
      </c>
      <c r="D135" s="11" t="s">
        <v>206</v>
      </c>
      <c r="E135" s="117" t="s">
        <v>207</v>
      </c>
      <c r="F135" s="11" t="s">
        <v>692</v>
      </c>
      <c r="G135" s="11" t="s">
        <v>692</v>
      </c>
      <c r="H135" s="11" t="s">
        <v>692</v>
      </c>
      <c r="I135" s="11" t="s">
        <v>692</v>
      </c>
      <c r="J135" s="67">
        <v>129027</v>
      </c>
      <c r="K135" s="67">
        <v>0</v>
      </c>
      <c r="L135" s="67">
        <v>129027</v>
      </c>
      <c r="M135" s="67">
        <v>109672.95</v>
      </c>
      <c r="N135" s="67">
        <v>19354.050000000003</v>
      </c>
      <c r="O135" s="65">
        <v>0</v>
      </c>
      <c r="P135" s="84">
        <f t="shared" si="7"/>
        <v>1</v>
      </c>
      <c r="Q135" s="73"/>
      <c r="R135" s="73"/>
    </row>
    <row r="136" spans="1:18" customFormat="1" ht="29.55" x14ac:dyDescent="0.3">
      <c r="A136" s="18" t="s">
        <v>7</v>
      </c>
      <c r="B136" s="18" t="s">
        <v>164</v>
      </c>
      <c r="C136" s="11">
        <v>473458</v>
      </c>
      <c r="D136" s="11" t="s">
        <v>204</v>
      </c>
      <c r="E136" s="117" t="s">
        <v>208</v>
      </c>
      <c r="F136" s="11" t="s">
        <v>692</v>
      </c>
      <c r="G136" s="11" t="s">
        <v>692</v>
      </c>
      <c r="H136" s="11" t="s">
        <v>692</v>
      </c>
      <c r="I136" s="11" t="s">
        <v>692</v>
      </c>
      <c r="J136" s="67">
        <v>119761.69</v>
      </c>
      <c r="K136" s="67">
        <v>0</v>
      </c>
      <c r="L136" s="67">
        <v>119761.69</v>
      </c>
      <c r="M136" s="67">
        <v>101797.4365</v>
      </c>
      <c r="N136" s="67">
        <v>17964.253500000006</v>
      </c>
      <c r="O136" s="65">
        <v>0</v>
      </c>
      <c r="P136" s="84">
        <f t="shared" si="7"/>
        <v>1</v>
      </c>
      <c r="Q136" s="73"/>
      <c r="R136" s="73"/>
    </row>
    <row r="137" spans="1:18" customFormat="1" ht="29.55" x14ac:dyDescent="0.3">
      <c r="A137" s="18" t="s">
        <v>7</v>
      </c>
      <c r="B137" s="18" t="s">
        <v>164</v>
      </c>
      <c r="C137" s="11">
        <v>473458</v>
      </c>
      <c r="D137" s="11" t="s">
        <v>204</v>
      </c>
      <c r="E137" s="117" t="s">
        <v>209</v>
      </c>
      <c r="F137" s="11" t="s">
        <v>692</v>
      </c>
      <c r="G137" s="11" t="s">
        <v>692</v>
      </c>
      <c r="H137" s="11" t="s">
        <v>692</v>
      </c>
      <c r="I137" s="11" t="s">
        <v>692</v>
      </c>
      <c r="J137" s="67">
        <v>154527.73000000001</v>
      </c>
      <c r="K137" s="67">
        <v>0</v>
      </c>
      <c r="L137" s="67">
        <v>154527.73000000001</v>
      </c>
      <c r="M137" s="67">
        <v>131348.5705</v>
      </c>
      <c r="N137" s="67">
        <v>23179.159500000009</v>
      </c>
      <c r="O137" s="65">
        <v>0</v>
      </c>
      <c r="P137" s="84">
        <f t="shared" si="7"/>
        <v>1</v>
      </c>
      <c r="Q137" s="73"/>
      <c r="R137" s="73"/>
    </row>
    <row r="138" spans="1:18" customFormat="1" ht="29.55" x14ac:dyDescent="0.3">
      <c r="A138" s="18" t="s">
        <v>7</v>
      </c>
      <c r="B138" s="18" t="s">
        <v>164</v>
      </c>
      <c r="C138" s="11">
        <v>473458</v>
      </c>
      <c r="D138" s="11" t="s">
        <v>204</v>
      </c>
      <c r="E138" s="117" t="s">
        <v>210</v>
      </c>
      <c r="F138" s="11" t="s">
        <v>692</v>
      </c>
      <c r="G138" s="11" t="s">
        <v>692</v>
      </c>
      <c r="H138" s="11" t="s">
        <v>692</v>
      </c>
      <c r="I138" s="11" t="s">
        <v>692</v>
      </c>
      <c r="J138" s="67">
        <v>150000</v>
      </c>
      <c r="K138" s="67">
        <v>0</v>
      </c>
      <c r="L138" s="67">
        <v>150000</v>
      </c>
      <c r="M138" s="67">
        <v>127500</v>
      </c>
      <c r="N138" s="67">
        <v>22500</v>
      </c>
      <c r="O138" s="65">
        <v>0</v>
      </c>
      <c r="P138" s="84">
        <f t="shared" si="7"/>
        <v>1</v>
      </c>
      <c r="Q138" s="73"/>
      <c r="R138" s="73"/>
    </row>
    <row r="139" spans="1:18" customFormat="1" x14ac:dyDescent="0.3">
      <c r="A139" s="18" t="s">
        <v>7</v>
      </c>
      <c r="B139" s="18" t="s">
        <v>164</v>
      </c>
      <c r="C139" s="11">
        <v>473458</v>
      </c>
      <c r="D139" s="11" t="s">
        <v>204</v>
      </c>
      <c r="E139" s="117" t="s">
        <v>211</v>
      </c>
      <c r="F139" s="11" t="s">
        <v>692</v>
      </c>
      <c r="G139" s="11" t="s">
        <v>692</v>
      </c>
      <c r="H139" s="11" t="s">
        <v>692</v>
      </c>
      <c r="I139" s="11" t="s">
        <v>692</v>
      </c>
      <c r="J139" s="67">
        <v>177120</v>
      </c>
      <c r="K139" s="67">
        <v>0</v>
      </c>
      <c r="L139" s="67">
        <v>177120</v>
      </c>
      <c r="M139" s="67">
        <v>150552</v>
      </c>
      <c r="N139" s="67">
        <v>26568</v>
      </c>
      <c r="O139" s="65">
        <v>0</v>
      </c>
      <c r="P139" s="84">
        <f t="shared" si="7"/>
        <v>1</v>
      </c>
      <c r="Q139" s="73"/>
      <c r="R139" s="73"/>
    </row>
    <row r="140" spans="1:18" customFormat="1" x14ac:dyDescent="0.3">
      <c r="A140" s="18" t="s">
        <v>7</v>
      </c>
      <c r="B140" s="18" t="s">
        <v>164</v>
      </c>
      <c r="C140" s="11">
        <v>473458</v>
      </c>
      <c r="D140" s="11" t="s">
        <v>204</v>
      </c>
      <c r="E140" s="117" t="s">
        <v>212</v>
      </c>
      <c r="F140" s="11" t="s">
        <v>692</v>
      </c>
      <c r="G140" s="11" t="s">
        <v>692</v>
      </c>
      <c r="H140" s="11" t="s">
        <v>692</v>
      </c>
      <c r="I140" s="11" t="s">
        <v>692</v>
      </c>
      <c r="J140" s="67">
        <v>200244</v>
      </c>
      <c r="K140" s="67">
        <v>30036.6</v>
      </c>
      <c r="L140" s="67">
        <v>170207.4</v>
      </c>
      <c r="M140" s="67">
        <v>170207.4</v>
      </c>
      <c r="N140" s="67">
        <v>0</v>
      </c>
      <c r="O140" s="65">
        <v>0</v>
      </c>
      <c r="P140" s="84">
        <f t="shared" si="7"/>
        <v>0.85</v>
      </c>
      <c r="Q140" s="73"/>
      <c r="R140" s="73"/>
    </row>
    <row r="141" spans="1:18" customFormat="1" x14ac:dyDescent="0.3">
      <c r="A141" s="18" t="s">
        <v>7</v>
      </c>
      <c r="B141" s="18" t="s">
        <v>164</v>
      </c>
      <c r="C141" s="11">
        <v>473458</v>
      </c>
      <c r="D141" s="11" t="s">
        <v>204</v>
      </c>
      <c r="E141" s="117" t="s">
        <v>213</v>
      </c>
      <c r="F141" s="11" t="s">
        <v>692</v>
      </c>
      <c r="G141" s="11">
        <v>3286</v>
      </c>
      <c r="H141" s="11">
        <v>716453</v>
      </c>
      <c r="I141" s="11" t="s">
        <v>692</v>
      </c>
      <c r="J141" s="67">
        <v>227550</v>
      </c>
      <c r="K141" s="67">
        <v>34132.5</v>
      </c>
      <c r="L141" s="67">
        <v>193417.5</v>
      </c>
      <c r="M141" s="67">
        <v>193417.5</v>
      </c>
      <c r="N141" s="67">
        <v>0</v>
      </c>
      <c r="O141" s="65">
        <v>0</v>
      </c>
      <c r="P141" s="84">
        <f t="shared" si="7"/>
        <v>0.85</v>
      </c>
      <c r="Q141" s="73"/>
      <c r="R141" s="73"/>
    </row>
    <row r="142" spans="1:18" customFormat="1" ht="29.55" x14ac:dyDescent="0.3">
      <c r="A142" s="18" t="s">
        <v>7</v>
      </c>
      <c r="B142" s="18" t="s">
        <v>164</v>
      </c>
      <c r="C142" s="11">
        <v>622393</v>
      </c>
      <c r="D142" s="11" t="s">
        <v>214</v>
      </c>
      <c r="E142" s="117" t="s">
        <v>215</v>
      </c>
      <c r="F142" s="11" t="s">
        <v>692</v>
      </c>
      <c r="G142" s="11" t="s">
        <v>692</v>
      </c>
      <c r="H142" s="11" t="s">
        <v>692</v>
      </c>
      <c r="I142" s="11" t="s">
        <v>692</v>
      </c>
      <c r="J142" s="67">
        <f>607270-(11276.34+6355.69)</f>
        <v>589637.97</v>
      </c>
      <c r="K142" s="67">
        <v>0</v>
      </c>
      <c r="L142" s="67">
        <f>607270-(11276.34+6355.69)</f>
        <v>589637.97</v>
      </c>
      <c r="M142" s="67">
        <f>L142*0.85</f>
        <v>501192.27449999994</v>
      </c>
      <c r="N142" s="67">
        <f>L142-M142</f>
        <v>88445.695500000031</v>
      </c>
      <c r="O142" s="65">
        <v>0</v>
      </c>
      <c r="P142" s="84">
        <f t="shared" si="7"/>
        <v>1</v>
      </c>
      <c r="Q142" s="73"/>
      <c r="R142" s="73"/>
    </row>
    <row r="143" spans="1:18" customFormat="1" x14ac:dyDescent="0.3">
      <c r="A143" s="18" t="s">
        <v>7</v>
      </c>
      <c r="B143" s="18" t="s">
        <v>164</v>
      </c>
      <c r="C143" s="11">
        <v>622393</v>
      </c>
      <c r="D143" s="11" t="s">
        <v>214</v>
      </c>
      <c r="E143" s="117" t="s">
        <v>216</v>
      </c>
      <c r="F143" s="11" t="s">
        <v>692</v>
      </c>
      <c r="G143" s="11" t="s">
        <v>692</v>
      </c>
      <c r="H143" s="11" t="s">
        <v>692</v>
      </c>
      <c r="I143" s="11" t="s">
        <v>692</v>
      </c>
      <c r="J143" s="67">
        <v>200000</v>
      </c>
      <c r="K143" s="67">
        <v>0</v>
      </c>
      <c r="L143" s="67">
        <v>200000</v>
      </c>
      <c r="M143" s="67">
        <v>170000</v>
      </c>
      <c r="N143" s="67">
        <v>30000</v>
      </c>
      <c r="O143" s="65">
        <v>0</v>
      </c>
      <c r="P143" s="84">
        <f t="shared" si="7"/>
        <v>1</v>
      </c>
      <c r="Q143" s="73"/>
      <c r="R143" s="73"/>
    </row>
    <row r="144" spans="1:18" customFormat="1" x14ac:dyDescent="0.3">
      <c r="A144" s="18" t="s">
        <v>7</v>
      </c>
      <c r="B144" s="18" t="s">
        <v>164</v>
      </c>
      <c r="C144" s="11">
        <v>622393</v>
      </c>
      <c r="D144" s="11" t="s">
        <v>214</v>
      </c>
      <c r="E144" s="117" t="s">
        <v>217</v>
      </c>
      <c r="F144" s="11" t="s">
        <v>692</v>
      </c>
      <c r="G144" s="11" t="s">
        <v>692</v>
      </c>
      <c r="H144" s="11" t="s">
        <v>692</v>
      </c>
      <c r="I144" s="11" t="s">
        <v>692</v>
      </c>
      <c r="J144" s="67">
        <v>440500</v>
      </c>
      <c r="K144" s="67">
        <v>0</v>
      </c>
      <c r="L144" s="67">
        <v>440500</v>
      </c>
      <c r="M144" s="67">
        <v>374425</v>
      </c>
      <c r="N144" s="67">
        <v>66075</v>
      </c>
      <c r="O144" s="65">
        <v>0</v>
      </c>
      <c r="P144" s="84">
        <f t="shared" si="7"/>
        <v>1</v>
      </c>
      <c r="Q144" s="73"/>
      <c r="R144" s="73"/>
    </row>
    <row r="145" spans="1:18" customFormat="1" x14ac:dyDescent="0.3">
      <c r="A145" s="18" t="s">
        <v>7</v>
      </c>
      <c r="B145" s="18" t="s">
        <v>164</v>
      </c>
      <c r="C145" s="11">
        <v>622393</v>
      </c>
      <c r="D145" s="11" t="s">
        <v>214</v>
      </c>
      <c r="E145" s="117" t="s">
        <v>218</v>
      </c>
      <c r="F145" s="11" t="s">
        <v>692</v>
      </c>
      <c r="G145" s="11" t="s">
        <v>692</v>
      </c>
      <c r="H145" s="11" t="s">
        <v>692</v>
      </c>
      <c r="I145" s="11" t="s">
        <v>692</v>
      </c>
      <c r="J145" s="67">
        <v>340315.9</v>
      </c>
      <c r="K145" s="67">
        <v>0</v>
      </c>
      <c r="L145" s="67">
        <v>340315.9</v>
      </c>
      <c r="M145" s="67">
        <v>289268.51500000001</v>
      </c>
      <c r="N145" s="67">
        <v>51047.375000000007</v>
      </c>
      <c r="O145" s="65">
        <v>0</v>
      </c>
      <c r="P145" s="84">
        <f t="shared" si="7"/>
        <v>1</v>
      </c>
      <c r="Q145" s="73"/>
      <c r="R145" s="73"/>
    </row>
    <row r="146" spans="1:18" customFormat="1" ht="29.55" x14ac:dyDescent="0.3">
      <c r="A146" s="18" t="s">
        <v>7</v>
      </c>
      <c r="B146" s="18" t="s">
        <v>164</v>
      </c>
      <c r="C146" s="11">
        <v>622393</v>
      </c>
      <c r="D146" s="11" t="s">
        <v>214</v>
      </c>
      <c r="E146" s="117" t="s">
        <v>219</v>
      </c>
      <c r="F146" s="11" t="s">
        <v>692</v>
      </c>
      <c r="G146" s="11" t="s">
        <v>692</v>
      </c>
      <c r="H146" s="11" t="s">
        <v>692</v>
      </c>
      <c r="I146" s="11" t="s">
        <v>692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5">
        <v>0</v>
      </c>
      <c r="P146" s="84" t="e">
        <f t="shared" si="7"/>
        <v>#DIV/0!</v>
      </c>
      <c r="Q146" s="73"/>
      <c r="R146" s="73"/>
    </row>
    <row r="147" spans="1:18" customFormat="1" x14ac:dyDescent="0.3">
      <c r="A147" s="18" t="s">
        <v>7</v>
      </c>
      <c r="B147" s="18" t="s">
        <v>164</v>
      </c>
      <c r="C147" s="11">
        <v>622393</v>
      </c>
      <c r="D147" s="11" t="s">
        <v>214</v>
      </c>
      <c r="E147" s="117" t="s">
        <v>220</v>
      </c>
      <c r="F147" s="11" t="s">
        <v>692</v>
      </c>
      <c r="G147" s="11">
        <v>3286</v>
      </c>
      <c r="H147" s="11">
        <v>716650</v>
      </c>
      <c r="I147" s="11">
        <v>993817</v>
      </c>
      <c r="J147" s="67">
        <v>18742.62</v>
      </c>
      <c r="K147" s="67">
        <v>3748.52</v>
      </c>
      <c r="L147" s="67">
        <v>14994.1</v>
      </c>
      <c r="M147" s="67">
        <v>14994.1</v>
      </c>
      <c r="N147" s="67">
        <v>0</v>
      </c>
      <c r="O147" s="65">
        <v>0</v>
      </c>
      <c r="P147" s="84">
        <f t="shared" si="7"/>
        <v>0.8000002134173344</v>
      </c>
      <c r="Q147" s="73"/>
      <c r="R147" s="73"/>
    </row>
    <row r="148" spans="1:18" customFormat="1" ht="29.55" x14ac:dyDescent="0.3">
      <c r="A148" s="18" t="s">
        <v>7</v>
      </c>
      <c r="B148" s="18" t="s">
        <v>164</v>
      </c>
      <c r="C148" s="11">
        <v>481668</v>
      </c>
      <c r="D148" s="11" t="s">
        <v>221</v>
      </c>
      <c r="E148" s="117" t="s">
        <v>667</v>
      </c>
      <c r="F148" s="11" t="s">
        <v>692</v>
      </c>
      <c r="G148" s="11" t="s">
        <v>692</v>
      </c>
      <c r="H148" s="11" t="s">
        <v>692</v>
      </c>
      <c r="I148" s="11" t="s">
        <v>692</v>
      </c>
      <c r="J148" s="67">
        <f>680190-38902.58</f>
        <v>641287.42000000004</v>
      </c>
      <c r="K148" s="67">
        <v>0</v>
      </c>
      <c r="L148" s="67">
        <f>680190-38902.58</f>
        <v>641287.42000000004</v>
      </c>
      <c r="M148" s="67">
        <f t="shared" ref="M148:M153" si="8">L148*0.85</f>
        <v>545094.30700000003</v>
      </c>
      <c r="N148" s="67">
        <f t="shared" ref="N148:N153" si="9">L148-M148</f>
        <v>96193.113000000012</v>
      </c>
      <c r="O148" s="65">
        <v>0</v>
      </c>
      <c r="P148" s="84">
        <f t="shared" si="7"/>
        <v>1</v>
      </c>
      <c r="Q148" s="73"/>
      <c r="R148" s="73"/>
    </row>
    <row r="149" spans="1:18" customFormat="1" ht="29.55" x14ac:dyDescent="0.3">
      <c r="A149" s="18" t="s">
        <v>7</v>
      </c>
      <c r="B149" s="18" t="s">
        <v>164</v>
      </c>
      <c r="C149" s="11">
        <v>481668</v>
      </c>
      <c r="D149" s="11" t="s">
        <v>221</v>
      </c>
      <c r="E149" s="117" t="s">
        <v>222</v>
      </c>
      <c r="F149" s="11" t="s">
        <v>692</v>
      </c>
      <c r="G149" s="11" t="s">
        <v>692</v>
      </c>
      <c r="H149" s="11" t="s">
        <v>692</v>
      </c>
      <c r="I149" s="11" t="s">
        <v>692</v>
      </c>
      <c r="J149" s="67">
        <f>444153.57+17736.28</f>
        <v>461889.85</v>
      </c>
      <c r="K149" s="67">
        <v>0</v>
      </c>
      <c r="L149" s="67">
        <f>444153.57+17736.28</f>
        <v>461889.85</v>
      </c>
      <c r="M149" s="67">
        <f t="shared" si="8"/>
        <v>392606.3725</v>
      </c>
      <c r="N149" s="67">
        <f t="shared" si="9"/>
        <v>69283.477499999979</v>
      </c>
      <c r="O149" s="65">
        <v>0</v>
      </c>
      <c r="P149" s="84">
        <f t="shared" si="7"/>
        <v>1</v>
      </c>
      <c r="Q149" s="73"/>
      <c r="R149" s="73"/>
    </row>
    <row r="150" spans="1:18" customFormat="1" x14ac:dyDescent="0.3">
      <c r="A150" s="18" t="s">
        <v>7</v>
      </c>
      <c r="B150" s="18" t="s">
        <v>164</v>
      </c>
      <c r="C150" s="11">
        <v>481668</v>
      </c>
      <c r="D150" s="11" t="s">
        <v>221</v>
      </c>
      <c r="E150" s="117" t="s">
        <v>223</v>
      </c>
      <c r="F150" s="11" t="s">
        <v>692</v>
      </c>
      <c r="G150" s="11" t="s">
        <v>692</v>
      </c>
      <c r="H150" s="11" t="s">
        <v>692</v>
      </c>
      <c r="I150" s="11" t="s">
        <v>692</v>
      </c>
      <c r="J150" s="67">
        <f>250004.77-10980.84</f>
        <v>239023.93</v>
      </c>
      <c r="K150" s="67">
        <v>0</v>
      </c>
      <c r="L150" s="67">
        <f>250004.77-10980.84</f>
        <v>239023.93</v>
      </c>
      <c r="M150" s="67">
        <f t="shared" si="8"/>
        <v>203170.34049999999</v>
      </c>
      <c r="N150" s="67">
        <f t="shared" si="9"/>
        <v>35853.589500000002</v>
      </c>
      <c r="O150" s="65">
        <v>0</v>
      </c>
      <c r="P150" s="84">
        <f t="shared" si="7"/>
        <v>1</v>
      </c>
      <c r="Q150" s="73"/>
      <c r="R150" s="73"/>
    </row>
    <row r="151" spans="1:18" customFormat="1" x14ac:dyDescent="0.3">
      <c r="A151" s="18" t="s">
        <v>7</v>
      </c>
      <c r="B151" s="18" t="s">
        <v>164</v>
      </c>
      <c r="C151" s="11">
        <v>481668</v>
      </c>
      <c r="D151" s="11" t="s">
        <v>221</v>
      </c>
      <c r="E151" s="117" t="s">
        <v>224</v>
      </c>
      <c r="F151" s="11" t="s">
        <v>692</v>
      </c>
      <c r="G151" s="11" t="s">
        <v>692</v>
      </c>
      <c r="H151" s="11" t="s">
        <v>692</v>
      </c>
      <c r="I151" s="11" t="s">
        <v>692</v>
      </c>
      <c r="J151" s="67">
        <f>65128.5+525.76</f>
        <v>65654.259999999995</v>
      </c>
      <c r="K151" s="67">
        <v>0</v>
      </c>
      <c r="L151" s="67">
        <f>65128.5+525.76</f>
        <v>65654.259999999995</v>
      </c>
      <c r="M151" s="67">
        <f t="shared" si="8"/>
        <v>55806.120999999992</v>
      </c>
      <c r="N151" s="67">
        <f t="shared" si="9"/>
        <v>9848.1390000000029</v>
      </c>
      <c r="O151" s="65">
        <v>0</v>
      </c>
      <c r="P151" s="84">
        <f t="shared" si="7"/>
        <v>1</v>
      </c>
      <c r="Q151" s="73"/>
      <c r="R151" s="73"/>
    </row>
    <row r="152" spans="1:18" customFormat="1" ht="29.55" x14ac:dyDescent="0.3">
      <c r="A152" s="18" t="s">
        <v>7</v>
      </c>
      <c r="B152" s="18" t="s">
        <v>164</v>
      </c>
      <c r="C152" s="11">
        <v>481668</v>
      </c>
      <c r="D152" s="11" t="s">
        <v>221</v>
      </c>
      <c r="E152" s="117" t="s">
        <v>225</v>
      </c>
      <c r="F152" s="11" t="s">
        <v>692</v>
      </c>
      <c r="G152" s="11" t="s">
        <v>692</v>
      </c>
      <c r="H152" s="11" t="s">
        <v>692</v>
      </c>
      <c r="I152" s="11" t="s">
        <v>692</v>
      </c>
      <c r="J152" s="67">
        <f>139236-19914.65</f>
        <v>119321.35</v>
      </c>
      <c r="K152" s="67">
        <v>0</v>
      </c>
      <c r="L152" s="67">
        <f>139236-19914.65</f>
        <v>119321.35</v>
      </c>
      <c r="M152" s="67">
        <f t="shared" si="8"/>
        <v>101423.14750000001</v>
      </c>
      <c r="N152" s="67">
        <f t="shared" si="9"/>
        <v>17898.202499999999</v>
      </c>
      <c r="O152" s="65">
        <v>0</v>
      </c>
      <c r="P152" s="84">
        <f t="shared" si="7"/>
        <v>1</v>
      </c>
      <c r="Q152" s="73"/>
      <c r="R152" s="73"/>
    </row>
    <row r="153" spans="1:18" customFormat="1" x14ac:dyDescent="0.3">
      <c r="A153" s="18" t="s">
        <v>7</v>
      </c>
      <c r="B153" s="18" t="s">
        <v>164</v>
      </c>
      <c r="C153" s="11">
        <v>481668</v>
      </c>
      <c r="D153" s="11" t="s">
        <v>221</v>
      </c>
      <c r="E153" s="117" t="s">
        <v>226</v>
      </c>
      <c r="F153" s="11" t="s">
        <v>692</v>
      </c>
      <c r="G153" s="11" t="s">
        <v>692</v>
      </c>
      <c r="H153" s="11" t="s">
        <v>692</v>
      </c>
      <c r="I153" s="11" t="s">
        <v>692</v>
      </c>
      <c r="J153" s="67">
        <f>390648-1637</f>
        <v>389011</v>
      </c>
      <c r="K153" s="67">
        <v>0</v>
      </c>
      <c r="L153" s="67">
        <f>390648-1637</f>
        <v>389011</v>
      </c>
      <c r="M153" s="67">
        <f t="shared" si="8"/>
        <v>330659.34999999998</v>
      </c>
      <c r="N153" s="67">
        <f t="shared" si="9"/>
        <v>58351.650000000023</v>
      </c>
      <c r="O153" s="65">
        <v>0</v>
      </c>
      <c r="P153" s="84">
        <f t="shared" si="7"/>
        <v>1</v>
      </c>
      <c r="Q153" s="73"/>
      <c r="R153" s="73"/>
    </row>
    <row r="154" spans="1:18" customFormat="1" x14ac:dyDescent="0.3">
      <c r="A154" s="18" t="s">
        <v>7</v>
      </c>
      <c r="B154" s="18" t="s">
        <v>164</v>
      </c>
      <c r="C154" s="11">
        <v>489165</v>
      </c>
      <c r="D154" s="11" t="s">
        <v>227</v>
      </c>
      <c r="E154" s="117" t="s">
        <v>228</v>
      </c>
      <c r="F154" s="11" t="s">
        <v>692</v>
      </c>
      <c r="G154" s="11" t="s">
        <v>692</v>
      </c>
      <c r="H154" s="11" t="s">
        <v>692</v>
      </c>
      <c r="I154" s="11" t="s">
        <v>692</v>
      </c>
      <c r="J154" s="67">
        <v>766350.84</v>
      </c>
      <c r="K154" s="67">
        <v>0</v>
      </c>
      <c r="L154" s="67">
        <v>766350.84</v>
      </c>
      <c r="M154" s="67">
        <v>651398.21399999992</v>
      </c>
      <c r="N154" s="67">
        <v>114952.62600000005</v>
      </c>
      <c r="O154" s="65">
        <v>0</v>
      </c>
      <c r="P154" s="84">
        <f t="shared" si="7"/>
        <v>1</v>
      </c>
      <c r="Q154" s="73"/>
      <c r="R154" s="73"/>
    </row>
    <row r="155" spans="1:18" customFormat="1" x14ac:dyDescent="0.3">
      <c r="A155" s="18" t="s">
        <v>7</v>
      </c>
      <c r="B155" s="18" t="s">
        <v>164</v>
      </c>
      <c r="C155" s="11">
        <v>489165</v>
      </c>
      <c r="D155" s="11" t="s">
        <v>227</v>
      </c>
      <c r="E155" s="117" t="s">
        <v>229</v>
      </c>
      <c r="F155" s="11" t="s">
        <v>692</v>
      </c>
      <c r="G155" s="11" t="s">
        <v>692</v>
      </c>
      <c r="H155" s="11" t="s">
        <v>692</v>
      </c>
      <c r="I155" s="11" t="s">
        <v>692</v>
      </c>
      <c r="J155" s="67">
        <v>321068.38</v>
      </c>
      <c r="K155" s="67">
        <v>0</v>
      </c>
      <c r="L155" s="67">
        <v>321068.38</v>
      </c>
      <c r="M155" s="67">
        <v>272908.12300000002</v>
      </c>
      <c r="N155" s="67">
        <v>48160.256999999983</v>
      </c>
      <c r="O155" s="65">
        <v>0</v>
      </c>
      <c r="P155" s="84">
        <f t="shared" si="7"/>
        <v>1</v>
      </c>
      <c r="Q155" s="73"/>
      <c r="R155" s="73"/>
    </row>
    <row r="156" spans="1:18" customFormat="1" x14ac:dyDescent="0.3">
      <c r="A156" s="18" t="s">
        <v>7</v>
      </c>
      <c r="B156" s="18" t="s">
        <v>164</v>
      </c>
      <c r="C156" s="11">
        <v>489165</v>
      </c>
      <c r="D156" s="11" t="s">
        <v>227</v>
      </c>
      <c r="E156" s="117" t="s">
        <v>230</v>
      </c>
      <c r="F156" s="11" t="s">
        <v>692</v>
      </c>
      <c r="G156" s="11" t="s">
        <v>692</v>
      </c>
      <c r="H156" s="11" t="s">
        <v>692</v>
      </c>
      <c r="I156" s="11" t="s">
        <v>692</v>
      </c>
      <c r="J156" s="67">
        <v>54320.74</v>
      </c>
      <c r="K156" s="67">
        <v>0</v>
      </c>
      <c r="L156" s="67">
        <v>54320.74</v>
      </c>
      <c r="M156" s="67">
        <v>46172.628999999994</v>
      </c>
      <c r="N156" s="67">
        <v>8148.1110000000044</v>
      </c>
      <c r="O156" s="65">
        <v>0</v>
      </c>
      <c r="P156" s="84">
        <f t="shared" si="7"/>
        <v>1</v>
      </c>
      <c r="Q156" s="73"/>
      <c r="R156" s="73"/>
    </row>
    <row r="157" spans="1:18" customFormat="1" x14ac:dyDescent="0.3">
      <c r="A157" s="18" t="s">
        <v>7</v>
      </c>
      <c r="B157" s="18" t="s">
        <v>164</v>
      </c>
      <c r="C157" s="11">
        <v>610541</v>
      </c>
      <c r="D157" s="11" t="s">
        <v>231</v>
      </c>
      <c r="E157" s="117" t="s">
        <v>232</v>
      </c>
      <c r="F157" s="11" t="s">
        <v>692</v>
      </c>
      <c r="G157" s="11" t="s">
        <v>692</v>
      </c>
      <c r="H157" s="11" t="s">
        <v>692</v>
      </c>
      <c r="I157" s="11" t="s">
        <v>692</v>
      </c>
      <c r="J157" s="67">
        <v>1449880</v>
      </c>
      <c r="K157" s="67">
        <v>0</v>
      </c>
      <c r="L157" s="67">
        <v>1449880</v>
      </c>
      <c r="M157" s="67">
        <v>1232398</v>
      </c>
      <c r="N157" s="67">
        <v>217482</v>
      </c>
      <c r="O157" s="65">
        <v>0</v>
      </c>
      <c r="P157" s="84">
        <f t="shared" si="7"/>
        <v>1</v>
      </c>
      <c r="Q157" s="73"/>
      <c r="R157" s="73"/>
    </row>
    <row r="158" spans="1:18" customFormat="1" x14ac:dyDescent="0.3">
      <c r="A158" s="18" t="s">
        <v>7</v>
      </c>
      <c r="B158" s="18" t="s">
        <v>164</v>
      </c>
      <c r="C158" s="11">
        <v>605472</v>
      </c>
      <c r="D158" s="11" t="s">
        <v>233</v>
      </c>
      <c r="E158" s="117" t="s">
        <v>234</v>
      </c>
      <c r="F158" s="49" t="s">
        <v>692</v>
      </c>
      <c r="G158" s="49" t="s">
        <v>692</v>
      </c>
      <c r="H158" s="49" t="s">
        <v>692</v>
      </c>
      <c r="I158" s="49" t="s">
        <v>692</v>
      </c>
      <c r="J158" s="67">
        <v>538750</v>
      </c>
      <c r="K158" s="67">
        <v>0</v>
      </c>
      <c r="L158" s="67">
        <v>538750</v>
      </c>
      <c r="M158" s="67">
        <v>457937.5</v>
      </c>
      <c r="N158" s="67">
        <v>80812.5</v>
      </c>
      <c r="O158" s="65">
        <v>0</v>
      </c>
      <c r="P158" s="84">
        <f t="shared" si="7"/>
        <v>1</v>
      </c>
      <c r="Q158" s="73"/>
      <c r="R158" s="73"/>
    </row>
    <row r="159" spans="1:18" customFormat="1" x14ac:dyDescent="0.3">
      <c r="A159" s="18" t="s">
        <v>7</v>
      </c>
      <c r="B159" s="18" t="s">
        <v>164</v>
      </c>
      <c r="C159" s="11">
        <v>605472</v>
      </c>
      <c r="D159" s="11" t="s">
        <v>233</v>
      </c>
      <c r="E159" s="118" t="s">
        <v>235</v>
      </c>
      <c r="F159" s="11" t="s">
        <v>692</v>
      </c>
      <c r="G159" s="11" t="s">
        <v>692</v>
      </c>
      <c r="H159" s="11" t="s">
        <v>692</v>
      </c>
      <c r="I159" s="11" t="s">
        <v>692</v>
      </c>
      <c r="J159" s="67">
        <v>493353</v>
      </c>
      <c r="K159" s="67">
        <v>0</v>
      </c>
      <c r="L159" s="67">
        <v>493353</v>
      </c>
      <c r="M159" s="67">
        <v>419350.05</v>
      </c>
      <c r="N159" s="67">
        <v>74002.950000000012</v>
      </c>
      <c r="O159" s="65">
        <v>0</v>
      </c>
      <c r="P159" s="84">
        <f t="shared" si="7"/>
        <v>1</v>
      </c>
      <c r="Q159" s="73"/>
      <c r="R159" s="73"/>
    </row>
    <row r="160" spans="1:18" customFormat="1" ht="29.55" x14ac:dyDescent="0.3">
      <c r="A160" s="18" t="s">
        <v>7</v>
      </c>
      <c r="B160" s="18" t="s">
        <v>164</v>
      </c>
      <c r="C160" s="11">
        <v>605472</v>
      </c>
      <c r="D160" s="11" t="s">
        <v>233</v>
      </c>
      <c r="E160" s="117" t="s">
        <v>236</v>
      </c>
      <c r="F160" s="11" t="s">
        <v>692</v>
      </c>
      <c r="G160" s="11" t="s">
        <v>692</v>
      </c>
      <c r="H160" s="11" t="s">
        <v>692</v>
      </c>
      <c r="I160" s="11" t="s">
        <v>692</v>
      </c>
      <c r="J160" s="67">
        <v>344600</v>
      </c>
      <c r="K160" s="67">
        <v>0</v>
      </c>
      <c r="L160" s="67">
        <v>344600</v>
      </c>
      <c r="M160" s="67">
        <v>292910</v>
      </c>
      <c r="N160" s="67">
        <v>51690</v>
      </c>
      <c r="O160" s="65">
        <v>0</v>
      </c>
      <c r="P160" s="84">
        <f t="shared" si="7"/>
        <v>1</v>
      </c>
      <c r="Q160" s="73"/>
      <c r="R160" s="73"/>
    </row>
    <row r="161" spans="1:18" customFormat="1" x14ac:dyDescent="0.3">
      <c r="A161" s="18" t="s">
        <v>7</v>
      </c>
      <c r="B161" s="18" t="s">
        <v>164</v>
      </c>
      <c r="C161" s="11">
        <v>605472</v>
      </c>
      <c r="D161" s="11" t="s">
        <v>233</v>
      </c>
      <c r="E161" s="117" t="s">
        <v>237</v>
      </c>
      <c r="F161" s="11" t="s">
        <v>692</v>
      </c>
      <c r="G161" s="11" t="s">
        <v>692</v>
      </c>
      <c r="H161" s="11" t="s">
        <v>692</v>
      </c>
      <c r="I161" s="11" t="s">
        <v>692</v>
      </c>
      <c r="J161" s="67">
        <v>27500</v>
      </c>
      <c r="K161" s="67">
        <v>4125</v>
      </c>
      <c r="L161" s="67">
        <v>23375</v>
      </c>
      <c r="M161" s="67">
        <v>23375</v>
      </c>
      <c r="N161" s="67">
        <v>0</v>
      </c>
      <c r="O161" s="65">
        <v>0</v>
      </c>
      <c r="P161" s="84">
        <f t="shared" si="7"/>
        <v>0.85</v>
      </c>
      <c r="Q161" s="73"/>
      <c r="R161" s="73"/>
    </row>
    <row r="162" spans="1:18" customFormat="1" x14ac:dyDescent="0.3">
      <c r="A162" s="18" t="s">
        <v>7</v>
      </c>
      <c r="B162" s="18" t="s">
        <v>164</v>
      </c>
      <c r="C162" s="11">
        <v>605472</v>
      </c>
      <c r="D162" s="11" t="s">
        <v>233</v>
      </c>
      <c r="E162" s="117" t="s">
        <v>238</v>
      </c>
      <c r="F162" s="11" t="s">
        <v>692</v>
      </c>
      <c r="G162" s="11" t="s">
        <v>692</v>
      </c>
      <c r="H162" s="11" t="s">
        <v>692</v>
      </c>
      <c r="I162" s="11" t="s">
        <v>692</v>
      </c>
      <c r="J162" s="67">
        <v>174800</v>
      </c>
      <c r="K162" s="67">
        <v>0</v>
      </c>
      <c r="L162" s="67">
        <v>174800</v>
      </c>
      <c r="M162" s="67">
        <v>148580</v>
      </c>
      <c r="N162" s="67">
        <v>26220</v>
      </c>
      <c r="O162" s="65">
        <v>0</v>
      </c>
      <c r="P162" s="84">
        <f t="shared" si="7"/>
        <v>1</v>
      </c>
      <c r="Q162" s="73"/>
      <c r="R162" s="73"/>
    </row>
    <row r="163" spans="1:18" customFormat="1" ht="29.55" x14ac:dyDescent="0.3">
      <c r="A163" s="18" t="s">
        <v>7</v>
      </c>
      <c r="B163" s="18" t="s">
        <v>164</v>
      </c>
      <c r="C163" s="11">
        <v>636517</v>
      </c>
      <c r="D163" s="11" t="s">
        <v>239</v>
      </c>
      <c r="E163" s="117" t="s">
        <v>240</v>
      </c>
      <c r="F163" s="11" t="s">
        <v>692</v>
      </c>
      <c r="G163" s="11" t="s">
        <v>692</v>
      </c>
      <c r="H163" s="11" t="s">
        <v>692</v>
      </c>
      <c r="I163" s="11" t="s">
        <v>692</v>
      </c>
      <c r="J163" s="67">
        <v>185730</v>
      </c>
      <c r="K163" s="67">
        <v>0</v>
      </c>
      <c r="L163" s="67">
        <v>185730</v>
      </c>
      <c r="M163" s="67">
        <v>157870.5</v>
      </c>
      <c r="N163" s="67">
        <v>27859.5</v>
      </c>
      <c r="O163" s="65">
        <v>0</v>
      </c>
      <c r="P163" s="84">
        <f t="shared" si="7"/>
        <v>1</v>
      </c>
      <c r="Q163" s="73"/>
      <c r="R163" s="73"/>
    </row>
    <row r="164" spans="1:18" customFormat="1" ht="29.55" x14ac:dyDescent="0.3">
      <c r="A164" s="18" t="s">
        <v>7</v>
      </c>
      <c r="B164" s="18" t="s">
        <v>164</v>
      </c>
      <c r="C164" s="11">
        <v>636517</v>
      </c>
      <c r="D164" s="11" t="s">
        <v>239</v>
      </c>
      <c r="E164" s="117" t="s">
        <v>241</v>
      </c>
      <c r="F164" s="11" t="s">
        <v>692</v>
      </c>
      <c r="G164" s="11" t="s">
        <v>692</v>
      </c>
      <c r="H164" s="11" t="s">
        <v>692</v>
      </c>
      <c r="I164" s="11" t="s">
        <v>692</v>
      </c>
      <c r="J164" s="67">
        <v>103461.4</v>
      </c>
      <c r="K164" s="67">
        <v>0</v>
      </c>
      <c r="L164" s="67">
        <v>103461.4</v>
      </c>
      <c r="M164" s="67">
        <v>87942.189999999988</v>
      </c>
      <c r="N164" s="67">
        <v>15519.210000000006</v>
      </c>
      <c r="O164" s="65">
        <v>0</v>
      </c>
      <c r="P164" s="84">
        <f t="shared" si="7"/>
        <v>1</v>
      </c>
      <c r="Q164" s="73"/>
      <c r="R164" s="73"/>
    </row>
    <row r="165" spans="1:18" customFormat="1" x14ac:dyDescent="0.3">
      <c r="A165" s="18" t="s">
        <v>7</v>
      </c>
      <c r="B165" s="18" t="s">
        <v>164</v>
      </c>
      <c r="C165" s="11">
        <v>636517</v>
      </c>
      <c r="D165" s="11" t="s">
        <v>239</v>
      </c>
      <c r="E165" s="117" t="s">
        <v>242</v>
      </c>
      <c r="F165" s="11" t="s">
        <v>692</v>
      </c>
      <c r="G165" s="11" t="s">
        <v>692</v>
      </c>
      <c r="H165" s="11" t="s">
        <v>692</v>
      </c>
      <c r="I165" s="11" t="s">
        <v>692</v>
      </c>
      <c r="J165" s="67">
        <v>916027</v>
      </c>
      <c r="K165" s="67">
        <v>0</v>
      </c>
      <c r="L165" s="67">
        <v>916027</v>
      </c>
      <c r="M165" s="67">
        <v>778622.95</v>
      </c>
      <c r="N165" s="67">
        <v>137404.05000000005</v>
      </c>
      <c r="O165" s="65">
        <v>0</v>
      </c>
      <c r="P165" s="84">
        <f t="shared" si="7"/>
        <v>1</v>
      </c>
      <c r="Q165" s="73"/>
      <c r="R165" s="73"/>
    </row>
    <row r="166" spans="1:18" customFormat="1" x14ac:dyDescent="0.3">
      <c r="A166" s="18" t="s">
        <v>7</v>
      </c>
      <c r="B166" s="18" t="s">
        <v>164</v>
      </c>
      <c r="C166" s="11">
        <v>636517</v>
      </c>
      <c r="D166" s="11" t="s">
        <v>239</v>
      </c>
      <c r="E166" s="117" t="s">
        <v>243</v>
      </c>
      <c r="F166" s="49" t="s">
        <v>692</v>
      </c>
      <c r="G166" s="49" t="s">
        <v>692</v>
      </c>
      <c r="H166" s="49" t="s">
        <v>692</v>
      </c>
      <c r="I166" s="49" t="s">
        <v>692</v>
      </c>
      <c r="J166" s="67">
        <v>749781.6</v>
      </c>
      <c r="K166" s="67">
        <v>0</v>
      </c>
      <c r="L166" s="67">
        <v>749781.6</v>
      </c>
      <c r="M166" s="67">
        <v>637314.36</v>
      </c>
      <c r="N166" s="67">
        <v>112467.23999999999</v>
      </c>
      <c r="O166" s="65">
        <v>0</v>
      </c>
      <c r="P166" s="84">
        <f t="shared" si="7"/>
        <v>1</v>
      </c>
      <c r="Q166" s="73"/>
      <c r="R166" s="73"/>
    </row>
    <row r="167" spans="1:18" customFormat="1" x14ac:dyDescent="0.3">
      <c r="A167" s="18" t="s">
        <v>7</v>
      </c>
      <c r="B167" s="18" t="s">
        <v>164</v>
      </c>
      <c r="C167" s="11">
        <v>635480</v>
      </c>
      <c r="D167" s="11" t="s">
        <v>244</v>
      </c>
      <c r="E167" s="118" t="s">
        <v>245</v>
      </c>
      <c r="F167" s="49" t="s">
        <v>692</v>
      </c>
      <c r="G167" s="49" t="s">
        <v>692</v>
      </c>
      <c r="H167" s="49" t="s">
        <v>692</v>
      </c>
      <c r="I167" s="49" t="s">
        <v>692</v>
      </c>
      <c r="J167" s="67">
        <v>509263.22</v>
      </c>
      <c r="K167" s="67">
        <v>0</v>
      </c>
      <c r="L167" s="67">
        <f>J167</f>
        <v>509263.22</v>
      </c>
      <c r="M167" s="67">
        <f>L167*0.85</f>
        <v>432873.73699999996</v>
      </c>
      <c r="N167" s="67">
        <f>L167-M167</f>
        <v>76389.483000000007</v>
      </c>
      <c r="O167" s="65">
        <v>0</v>
      </c>
      <c r="P167" s="84">
        <f t="shared" si="7"/>
        <v>1</v>
      </c>
      <c r="Q167" s="73">
        <v>38329.448856810923</v>
      </c>
      <c r="R167" s="73">
        <v>38329.448856810923</v>
      </c>
    </row>
    <row r="168" spans="1:18" customFormat="1" ht="29.55" x14ac:dyDescent="0.3">
      <c r="A168" s="18" t="s">
        <v>7</v>
      </c>
      <c r="B168" s="18" t="s">
        <v>164</v>
      </c>
      <c r="C168" s="11">
        <v>635480</v>
      </c>
      <c r="D168" s="11" t="s">
        <v>244</v>
      </c>
      <c r="E168" s="118" t="s">
        <v>246</v>
      </c>
      <c r="F168" s="49" t="s">
        <v>692</v>
      </c>
      <c r="G168" s="49" t="s">
        <v>692</v>
      </c>
      <c r="H168" s="49" t="s">
        <v>692</v>
      </c>
      <c r="I168" s="49" t="s">
        <v>692</v>
      </c>
      <c r="J168" s="67">
        <v>317123.20000000013</v>
      </c>
      <c r="K168" s="67">
        <v>0</v>
      </c>
      <c r="L168" s="67">
        <v>317123.20000000013</v>
      </c>
      <c r="M168" s="67">
        <v>269554.72000000009</v>
      </c>
      <c r="N168" s="67">
        <v>47568.48000000004</v>
      </c>
      <c r="O168" s="65">
        <v>0</v>
      </c>
      <c r="P168" s="84">
        <f t="shared" si="7"/>
        <v>1</v>
      </c>
      <c r="Q168" s="73"/>
      <c r="R168" s="73"/>
    </row>
    <row r="169" spans="1:18" customFormat="1" x14ac:dyDescent="0.3">
      <c r="A169" s="18" t="s">
        <v>7</v>
      </c>
      <c r="B169" s="18" t="s">
        <v>164</v>
      </c>
      <c r="C169" s="11">
        <v>635480</v>
      </c>
      <c r="D169" s="11" t="s">
        <v>244</v>
      </c>
      <c r="E169" s="118" t="s">
        <v>247</v>
      </c>
      <c r="F169" s="49" t="s">
        <v>692</v>
      </c>
      <c r="G169" s="49" t="s">
        <v>692</v>
      </c>
      <c r="H169" s="49" t="s">
        <v>692</v>
      </c>
      <c r="I169" s="49" t="s">
        <v>692</v>
      </c>
      <c r="J169" s="67">
        <v>469416.15999999963</v>
      </c>
      <c r="K169" s="67">
        <v>0</v>
      </c>
      <c r="L169" s="67">
        <v>469416.15999999963</v>
      </c>
      <c r="M169" s="67">
        <v>399003.73599999968</v>
      </c>
      <c r="N169" s="67">
        <v>70412.423999999941</v>
      </c>
      <c r="O169" s="65">
        <v>0</v>
      </c>
      <c r="P169" s="84">
        <f t="shared" si="7"/>
        <v>1</v>
      </c>
      <c r="Q169" s="73"/>
      <c r="R169" s="73"/>
    </row>
    <row r="170" spans="1:18" customFormat="1" ht="29.55" x14ac:dyDescent="0.3">
      <c r="A170" s="18" t="s">
        <v>7</v>
      </c>
      <c r="B170" s="18" t="s">
        <v>164</v>
      </c>
      <c r="C170" s="11">
        <v>635480</v>
      </c>
      <c r="D170" s="11" t="s">
        <v>244</v>
      </c>
      <c r="E170" s="118" t="s">
        <v>248</v>
      </c>
      <c r="F170" s="49" t="s">
        <v>692</v>
      </c>
      <c r="G170" s="49" t="s">
        <v>692</v>
      </c>
      <c r="H170" s="49" t="s">
        <v>692</v>
      </c>
      <c r="I170" s="49" t="s">
        <v>692</v>
      </c>
      <c r="J170" s="67">
        <v>122591.55999999953</v>
      </c>
      <c r="K170" s="67">
        <v>0</v>
      </c>
      <c r="L170" s="67">
        <v>122591.55999999953</v>
      </c>
      <c r="M170" s="67">
        <v>104202.82599999959</v>
      </c>
      <c r="N170" s="67">
        <v>18388.733999999939</v>
      </c>
      <c r="O170" s="65">
        <v>0</v>
      </c>
      <c r="P170" s="84">
        <f t="shared" si="7"/>
        <v>1</v>
      </c>
      <c r="Q170" s="73"/>
      <c r="R170" s="73"/>
    </row>
    <row r="171" spans="1:18" customFormat="1" ht="29.55" x14ac:dyDescent="0.3">
      <c r="A171" s="18" t="s">
        <v>7</v>
      </c>
      <c r="B171" s="18" t="s">
        <v>164</v>
      </c>
      <c r="C171" s="11">
        <v>635480</v>
      </c>
      <c r="D171" s="11" t="s">
        <v>244</v>
      </c>
      <c r="E171" s="118" t="s">
        <v>249</v>
      </c>
      <c r="F171" s="11" t="s">
        <v>692</v>
      </c>
      <c r="G171" s="11" t="s">
        <v>692</v>
      </c>
      <c r="H171" s="11" t="s">
        <v>692</v>
      </c>
      <c r="I171" s="11" t="s">
        <v>692</v>
      </c>
      <c r="J171" s="67">
        <v>436667.32</v>
      </c>
      <c r="K171" s="67">
        <v>0</v>
      </c>
      <c r="L171" s="67">
        <v>436667.32</v>
      </c>
      <c r="M171" s="67">
        <f>L171*0.85</f>
        <v>371167.22200000001</v>
      </c>
      <c r="N171" s="67">
        <f>L171-M171</f>
        <v>65500.097999999998</v>
      </c>
      <c r="O171" s="65">
        <v>0</v>
      </c>
      <c r="P171" s="84">
        <f t="shared" si="7"/>
        <v>1</v>
      </c>
      <c r="Q171" s="73">
        <v>798.53951844689436</v>
      </c>
      <c r="R171" s="73">
        <v>798.53951844689436</v>
      </c>
    </row>
    <row r="172" spans="1:18" customFormat="1" ht="29.55" x14ac:dyDescent="0.3">
      <c r="A172" s="18" t="s">
        <v>7</v>
      </c>
      <c r="B172" s="18" t="s">
        <v>164</v>
      </c>
      <c r="C172" s="11">
        <v>635480</v>
      </c>
      <c r="D172" s="11" t="s">
        <v>244</v>
      </c>
      <c r="E172" s="117" t="s">
        <v>250</v>
      </c>
      <c r="F172" s="11" t="s">
        <v>692</v>
      </c>
      <c r="G172" s="11" t="s">
        <v>692</v>
      </c>
      <c r="H172" s="11" t="s">
        <v>692</v>
      </c>
      <c r="I172" s="11" t="s">
        <v>692</v>
      </c>
      <c r="J172" s="67">
        <v>38725.51</v>
      </c>
      <c r="K172" s="67">
        <v>0</v>
      </c>
      <c r="L172" s="67">
        <v>38725.51</v>
      </c>
      <c r="M172" s="67">
        <f>L172*0.85</f>
        <v>32916.683499999999</v>
      </c>
      <c r="N172" s="67">
        <f>L172-M172</f>
        <v>5808.8265000000029</v>
      </c>
      <c r="O172" s="65">
        <v>0</v>
      </c>
      <c r="P172" s="84">
        <f t="shared" si="7"/>
        <v>1</v>
      </c>
      <c r="Q172" s="73">
        <v>5163.6349280001741</v>
      </c>
      <c r="R172" s="73">
        <v>5163.6349280001741</v>
      </c>
    </row>
    <row r="173" spans="1:18" customFormat="1" x14ac:dyDescent="0.3">
      <c r="A173" s="18" t="s">
        <v>7</v>
      </c>
      <c r="B173" s="18" t="s">
        <v>164</v>
      </c>
      <c r="C173" s="11">
        <v>473472</v>
      </c>
      <c r="D173" s="11" t="s">
        <v>251</v>
      </c>
      <c r="E173" s="117" t="s">
        <v>252</v>
      </c>
      <c r="F173" s="49" t="s">
        <v>692</v>
      </c>
      <c r="G173" s="49" t="s">
        <v>692</v>
      </c>
      <c r="H173" s="49" t="s">
        <v>692</v>
      </c>
      <c r="I173" s="49" t="s">
        <v>692</v>
      </c>
      <c r="J173" s="67">
        <v>514650</v>
      </c>
      <c r="K173" s="67">
        <v>0</v>
      </c>
      <c r="L173" s="67">
        <v>514650</v>
      </c>
      <c r="M173" s="67">
        <v>437452.5</v>
      </c>
      <c r="N173" s="67">
        <v>77197.5</v>
      </c>
      <c r="O173" s="65">
        <v>0</v>
      </c>
      <c r="P173" s="84">
        <f t="shared" si="7"/>
        <v>1</v>
      </c>
      <c r="Q173" s="73"/>
      <c r="R173" s="73"/>
    </row>
    <row r="174" spans="1:18" customFormat="1" x14ac:dyDescent="0.3">
      <c r="A174" s="18" t="s">
        <v>7</v>
      </c>
      <c r="B174" s="18" t="s">
        <v>164</v>
      </c>
      <c r="C174" s="11">
        <v>473472</v>
      </c>
      <c r="D174" s="11" t="s">
        <v>251</v>
      </c>
      <c r="E174" s="118" t="s">
        <v>253</v>
      </c>
      <c r="F174" s="11" t="s">
        <v>692</v>
      </c>
      <c r="G174" s="11" t="s">
        <v>692</v>
      </c>
      <c r="H174" s="11" t="s">
        <v>692</v>
      </c>
      <c r="I174" s="11" t="s">
        <v>692</v>
      </c>
      <c r="J174" s="67">
        <v>1933.91</v>
      </c>
      <c r="K174" s="67">
        <v>0</v>
      </c>
      <c r="L174" s="67">
        <v>1933.91</v>
      </c>
      <c r="M174" s="67">
        <v>1643.8235</v>
      </c>
      <c r="N174" s="67">
        <v>290.08650000000011</v>
      </c>
      <c r="O174" s="65">
        <v>0</v>
      </c>
      <c r="P174" s="84">
        <f t="shared" si="7"/>
        <v>1</v>
      </c>
      <c r="Q174" s="73"/>
      <c r="R174" s="73"/>
    </row>
    <row r="175" spans="1:18" customFormat="1" x14ac:dyDescent="0.3">
      <c r="A175" s="18" t="s">
        <v>7</v>
      </c>
      <c r="B175" s="18" t="s">
        <v>164</v>
      </c>
      <c r="C175" s="11">
        <v>473472</v>
      </c>
      <c r="D175" s="11" t="s">
        <v>251</v>
      </c>
      <c r="E175" s="117" t="s">
        <v>254</v>
      </c>
      <c r="F175" s="11" t="s">
        <v>692</v>
      </c>
      <c r="G175" s="11" t="s">
        <v>692</v>
      </c>
      <c r="H175" s="11" t="s">
        <v>692</v>
      </c>
      <c r="I175" s="11" t="s">
        <v>692</v>
      </c>
      <c r="J175" s="67">
        <v>671256.76</v>
      </c>
      <c r="K175" s="67">
        <v>0</v>
      </c>
      <c r="L175" s="67">
        <v>671256.76</v>
      </c>
      <c r="M175" s="67">
        <v>570568.24600000004</v>
      </c>
      <c r="N175" s="67">
        <v>100688.51399999997</v>
      </c>
      <c r="O175" s="65">
        <v>0</v>
      </c>
      <c r="P175" s="84">
        <f t="shared" si="7"/>
        <v>1</v>
      </c>
      <c r="Q175" s="73"/>
      <c r="R175" s="73"/>
    </row>
    <row r="176" spans="1:18" customFormat="1" x14ac:dyDescent="0.3">
      <c r="A176" s="18" t="s">
        <v>7</v>
      </c>
      <c r="B176" s="18" t="s">
        <v>164</v>
      </c>
      <c r="C176" s="11">
        <v>473472</v>
      </c>
      <c r="D176" s="11" t="s">
        <v>251</v>
      </c>
      <c r="E176" s="117" t="s">
        <v>255</v>
      </c>
      <c r="F176" s="11" t="s">
        <v>692</v>
      </c>
      <c r="G176" s="11" t="s">
        <v>692</v>
      </c>
      <c r="H176" s="11" t="s">
        <v>692</v>
      </c>
      <c r="I176" s="11" t="s">
        <v>692</v>
      </c>
      <c r="J176" s="67">
        <v>172339.12</v>
      </c>
      <c r="K176" s="67">
        <v>0</v>
      </c>
      <c r="L176" s="67">
        <v>172339.12</v>
      </c>
      <c r="M176" s="67">
        <v>146488.25199999998</v>
      </c>
      <c r="N176" s="67">
        <v>25850.868000000017</v>
      </c>
      <c r="O176" s="65">
        <v>0</v>
      </c>
      <c r="P176" s="84">
        <f t="shared" si="7"/>
        <v>1</v>
      </c>
      <c r="Q176" s="73"/>
      <c r="R176" s="73"/>
    </row>
    <row r="177" spans="1:18" customFormat="1" ht="29.55" x14ac:dyDescent="0.3">
      <c r="A177" s="18" t="s">
        <v>7</v>
      </c>
      <c r="B177" s="18" t="s">
        <v>164</v>
      </c>
      <c r="C177" s="11">
        <v>473472</v>
      </c>
      <c r="D177" s="11" t="s">
        <v>251</v>
      </c>
      <c r="E177" s="117" t="s">
        <v>256</v>
      </c>
      <c r="F177" s="11" t="s">
        <v>692</v>
      </c>
      <c r="G177" s="11" t="s">
        <v>692</v>
      </c>
      <c r="H177" s="11" t="s">
        <v>692</v>
      </c>
      <c r="I177" s="11" t="s">
        <v>692</v>
      </c>
      <c r="J177" s="67">
        <v>95218.53</v>
      </c>
      <c r="K177" s="67">
        <v>14282.78</v>
      </c>
      <c r="L177" s="67">
        <v>80935.75</v>
      </c>
      <c r="M177" s="67">
        <v>80935.75</v>
      </c>
      <c r="N177" s="67">
        <v>0</v>
      </c>
      <c r="O177" s="65">
        <v>0</v>
      </c>
      <c r="P177" s="84">
        <f t="shared" si="7"/>
        <v>0.84999999474892129</v>
      </c>
      <c r="Q177" s="73"/>
      <c r="R177" s="73"/>
    </row>
    <row r="178" spans="1:18" customFormat="1" x14ac:dyDescent="0.3">
      <c r="A178" s="18" t="s">
        <v>7</v>
      </c>
      <c r="B178" s="18" t="s">
        <v>164</v>
      </c>
      <c r="C178" s="11">
        <v>473472</v>
      </c>
      <c r="D178" s="11" t="s">
        <v>251</v>
      </c>
      <c r="E178" s="117" t="s">
        <v>257</v>
      </c>
      <c r="F178" s="11" t="s">
        <v>692</v>
      </c>
      <c r="G178" s="11" t="s">
        <v>692</v>
      </c>
      <c r="H178" s="11" t="s">
        <v>692</v>
      </c>
      <c r="I178" s="11" t="s">
        <v>692</v>
      </c>
      <c r="J178" s="67">
        <v>293352.65000000002</v>
      </c>
      <c r="K178" s="67">
        <v>44003.120000000024</v>
      </c>
      <c r="L178" s="67">
        <v>249349.53</v>
      </c>
      <c r="M178" s="67">
        <v>249349.53</v>
      </c>
      <c r="N178" s="67">
        <v>0</v>
      </c>
      <c r="O178" s="65">
        <v>0</v>
      </c>
      <c r="P178" s="84">
        <f t="shared" si="7"/>
        <v>0.84999924152721984</v>
      </c>
      <c r="Q178" s="73"/>
      <c r="R178" s="73"/>
    </row>
    <row r="179" spans="1:18" customFormat="1" ht="29.55" x14ac:dyDescent="0.3">
      <c r="A179" s="18" t="s">
        <v>7</v>
      </c>
      <c r="B179" s="18" t="s">
        <v>164</v>
      </c>
      <c r="C179" s="11">
        <v>540693</v>
      </c>
      <c r="D179" s="11" t="s">
        <v>258</v>
      </c>
      <c r="E179" s="117" t="s">
        <v>259</v>
      </c>
      <c r="F179" s="11" t="s">
        <v>692</v>
      </c>
      <c r="G179" s="11" t="s">
        <v>692</v>
      </c>
      <c r="H179" s="11" t="s">
        <v>692</v>
      </c>
      <c r="I179" s="11" t="s">
        <v>692</v>
      </c>
      <c r="J179" s="67">
        <v>698176.58400000003</v>
      </c>
      <c r="K179" s="67">
        <v>0</v>
      </c>
      <c r="L179" s="67">
        <v>698176.58400000003</v>
      </c>
      <c r="M179" s="67">
        <v>593450.1</v>
      </c>
      <c r="N179" s="67">
        <f>L179-M179</f>
        <v>104726.48400000005</v>
      </c>
      <c r="O179" s="65">
        <v>0</v>
      </c>
      <c r="P179" s="84">
        <f t="shared" si="7"/>
        <v>1</v>
      </c>
      <c r="Q179" s="73"/>
      <c r="R179" s="73"/>
    </row>
    <row r="180" spans="1:18" customFormat="1" ht="29.55" x14ac:dyDescent="0.3">
      <c r="A180" s="18" t="s">
        <v>7</v>
      </c>
      <c r="B180" s="18" t="s">
        <v>164</v>
      </c>
      <c r="C180" s="11">
        <v>540693</v>
      </c>
      <c r="D180" s="11" t="s">
        <v>258</v>
      </c>
      <c r="E180" s="117" t="s">
        <v>260</v>
      </c>
      <c r="F180" s="11" t="s">
        <v>692</v>
      </c>
      <c r="G180" s="11" t="s">
        <v>692</v>
      </c>
      <c r="H180" s="11" t="s">
        <v>692</v>
      </c>
      <c r="I180" s="11" t="s">
        <v>692</v>
      </c>
      <c r="J180" s="67">
        <v>174419.14666639999</v>
      </c>
      <c r="K180" s="67">
        <v>0</v>
      </c>
      <c r="L180" s="67">
        <v>174419.14666639999</v>
      </c>
      <c r="M180" s="67">
        <v>148256.26999999999</v>
      </c>
      <c r="N180" s="67">
        <f>L180-M180</f>
        <v>26162.8766664</v>
      </c>
      <c r="O180" s="65">
        <v>0</v>
      </c>
      <c r="P180" s="84">
        <f t="shared" si="7"/>
        <v>1</v>
      </c>
      <c r="Q180" s="73"/>
      <c r="R180" s="73"/>
    </row>
    <row r="181" spans="1:18" customFormat="1" x14ac:dyDescent="0.3">
      <c r="A181" s="18" t="s">
        <v>7</v>
      </c>
      <c r="B181" s="18" t="s">
        <v>164</v>
      </c>
      <c r="C181" s="11">
        <v>594274</v>
      </c>
      <c r="D181" s="11" t="s">
        <v>261</v>
      </c>
      <c r="E181" s="117" t="s">
        <v>262</v>
      </c>
      <c r="F181" s="11" t="s">
        <v>692</v>
      </c>
      <c r="G181" s="11" t="s">
        <v>692</v>
      </c>
      <c r="H181" s="11" t="s">
        <v>692</v>
      </c>
      <c r="I181" s="11" t="s">
        <v>692</v>
      </c>
      <c r="J181" s="67">
        <v>504300</v>
      </c>
      <c r="K181" s="67">
        <v>0</v>
      </c>
      <c r="L181" s="67">
        <v>504300</v>
      </c>
      <c r="M181" s="67">
        <v>428655</v>
      </c>
      <c r="N181" s="67">
        <f>75645-O181</f>
        <v>72582.820000000007</v>
      </c>
      <c r="O181" s="65">
        <v>3062.18</v>
      </c>
      <c r="P181" s="84">
        <f t="shared" si="7"/>
        <v>1</v>
      </c>
      <c r="Q181" s="73"/>
      <c r="R181" s="73"/>
    </row>
    <row r="182" spans="1:18" customFormat="1" x14ac:dyDescent="0.3">
      <c r="A182" s="18" t="s">
        <v>7</v>
      </c>
      <c r="B182" s="18" t="s">
        <v>164</v>
      </c>
      <c r="C182" s="11">
        <v>594274</v>
      </c>
      <c r="D182" s="11" t="s">
        <v>261</v>
      </c>
      <c r="E182" s="117" t="s">
        <v>263</v>
      </c>
      <c r="F182" s="11" t="s">
        <v>692</v>
      </c>
      <c r="G182" s="11" t="s">
        <v>692</v>
      </c>
      <c r="H182" s="11" t="s">
        <v>692</v>
      </c>
      <c r="I182" s="11" t="s">
        <v>692</v>
      </c>
      <c r="J182" s="67">
        <v>150000</v>
      </c>
      <c r="K182" s="67">
        <v>22500</v>
      </c>
      <c r="L182" s="67">
        <v>127500</v>
      </c>
      <c r="M182" s="67">
        <v>127500</v>
      </c>
      <c r="N182" s="67">
        <v>0</v>
      </c>
      <c r="O182" s="65">
        <v>0</v>
      </c>
      <c r="P182" s="84">
        <f t="shared" si="7"/>
        <v>0.85</v>
      </c>
      <c r="Q182" s="73"/>
      <c r="R182" s="73"/>
    </row>
    <row r="183" spans="1:18" customFormat="1" ht="29.55" x14ac:dyDescent="0.3">
      <c r="A183" s="18" t="s">
        <v>7</v>
      </c>
      <c r="B183" s="18" t="s">
        <v>164</v>
      </c>
      <c r="C183" s="11">
        <v>594274</v>
      </c>
      <c r="D183" s="11" t="s">
        <v>261</v>
      </c>
      <c r="E183" s="117" t="s">
        <v>264</v>
      </c>
      <c r="F183" s="11" t="s">
        <v>692</v>
      </c>
      <c r="G183" s="11" t="s">
        <v>692</v>
      </c>
      <c r="H183" s="11" t="s">
        <v>692</v>
      </c>
      <c r="I183" s="11" t="s">
        <v>692</v>
      </c>
      <c r="J183" s="67">
        <v>167890.5</v>
      </c>
      <c r="K183" s="67">
        <v>0</v>
      </c>
      <c r="L183" s="67">
        <v>167890.5</v>
      </c>
      <c r="M183" s="67">
        <v>142706.93</v>
      </c>
      <c r="N183" s="67">
        <f>L183-M183</f>
        <v>25183.570000000007</v>
      </c>
      <c r="O183" s="65">
        <v>0</v>
      </c>
      <c r="P183" s="84">
        <f t="shared" si="7"/>
        <v>1</v>
      </c>
      <c r="Q183" s="73"/>
      <c r="R183" s="73"/>
    </row>
    <row r="184" spans="1:18" customFormat="1" ht="29.55" x14ac:dyDescent="0.3">
      <c r="A184" s="18" t="s">
        <v>7</v>
      </c>
      <c r="B184" s="18" t="s">
        <v>164</v>
      </c>
      <c r="C184" s="11">
        <v>594274</v>
      </c>
      <c r="D184" s="11" t="s">
        <v>261</v>
      </c>
      <c r="E184" s="117" t="s">
        <v>265</v>
      </c>
      <c r="F184" s="49" t="s">
        <v>692</v>
      </c>
      <c r="G184" s="49" t="s">
        <v>692</v>
      </c>
      <c r="H184" s="49" t="s">
        <v>692</v>
      </c>
      <c r="I184" s="49" t="s">
        <v>692</v>
      </c>
      <c r="J184" s="67">
        <v>70100</v>
      </c>
      <c r="K184" s="67">
        <v>0</v>
      </c>
      <c r="L184" s="67">
        <v>70100</v>
      </c>
      <c r="M184" s="67">
        <v>59585</v>
      </c>
      <c r="N184" s="67">
        <v>10515</v>
      </c>
      <c r="O184" s="65">
        <v>0</v>
      </c>
      <c r="P184" s="84">
        <f t="shared" si="7"/>
        <v>1</v>
      </c>
      <c r="Q184" s="73"/>
      <c r="R184" s="73"/>
    </row>
    <row r="185" spans="1:18" customFormat="1" x14ac:dyDescent="0.3">
      <c r="A185" s="18" t="s">
        <v>7</v>
      </c>
      <c r="B185" s="18" t="s">
        <v>164</v>
      </c>
      <c r="C185" s="11">
        <v>594274</v>
      </c>
      <c r="D185" s="11" t="s">
        <v>261</v>
      </c>
      <c r="E185" s="118" t="s">
        <v>266</v>
      </c>
      <c r="F185" s="49" t="s">
        <v>692</v>
      </c>
      <c r="G185" s="49" t="s">
        <v>692</v>
      </c>
      <c r="H185" s="49" t="s">
        <v>692</v>
      </c>
      <c r="I185" s="49" t="s">
        <v>692</v>
      </c>
      <c r="J185" s="67">
        <f>608441.64-1338.49</f>
        <v>607103.15</v>
      </c>
      <c r="K185" s="67">
        <v>0</v>
      </c>
      <c r="L185" s="67">
        <f>608441.64-1338.49</f>
        <v>607103.15</v>
      </c>
      <c r="M185" s="67">
        <f>L185*0.85</f>
        <v>516037.67749999999</v>
      </c>
      <c r="N185" s="67">
        <f>L185-M185</f>
        <v>91065.472500000033</v>
      </c>
      <c r="O185" s="65">
        <v>0</v>
      </c>
      <c r="P185" s="84">
        <f t="shared" si="7"/>
        <v>1</v>
      </c>
      <c r="Q185" s="73"/>
      <c r="R185" s="73"/>
    </row>
    <row r="186" spans="1:18" customFormat="1" x14ac:dyDescent="0.3">
      <c r="A186" s="18" t="s">
        <v>7</v>
      </c>
      <c r="B186" s="18" t="s">
        <v>164</v>
      </c>
      <c r="C186" s="11">
        <v>594274</v>
      </c>
      <c r="D186" s="11" t="s">
        <v>261</v>
      </c>
      <c r="E186" s="118" t="s">
        <v>267</v>
      </c>
      <c r="F186" s="11" t="s">
        <v>692</v>
      </c>
      <c r="G186" s="11" t="s">
        <v>692</v>
      </c>
      <c r="H186" s="11" t="s">
        <v>692</v>
      </c>
      <c r="I186" s="11" t="s">
        <v>692</v>
      </c>
      <c r="J186" s="67">
        <v>190200</v>
      </c>
      <c r="K186" s="67">
        <v>0</v>
      </c>
      <c r="L186" s="67">
        <v>190200</v>
      </c>
      <c r="M186" s="67">
        <v>161670</v>
      </c>
      <c r="N186" s="67">
        <v>28530</v>
      </c>
      <c r="O186" s="65">
        <v>0</v>
      </c>
      <c r="P186" s="84">
        <f t="shared" si="7"/>
        <v>1</v>
      </c>
      <c r="Q186" s="73"/>
      <c r="R186" s="73"/>
    </row>
    <row r="187" spans="1:18" customFormat="1" ht="29.55" x14ac:dyDescent="0.3">
      <c r="A187" s="18" t="s">
        <v>7</v>
      </c>
      <c r="B187" s="18" t="s">
        <v>164</v>
      </c>
      <c r="C187" s="11">
        <v>594274</v>
      </c>
      <c r="D187" s="11" t="s">
        <v>261</v>
      </c>
      <c r="E187" s="117" t="s">
        <v>268</v>
      </c>
      <c r="F187" s="11" t="s">
        <v>692</v>
      </c>
      <c r="G187" s="11" t="s">
        <v>692</v>
      </c>
      <c r="H187" s="11" t="s">
        <v>692</v>
      </c>
      <c r="I187" s="11" t="s">
        <v>692</v>
      </c>
      <c r="J187" s="67">
        <v>137320.70000000001</v>
      </c>
      <c r="K187" s="67">
        <v>0</v>
      </c>
      <c r="L187" s="67">
        <v>137320.70000000001</v>
      </c>
      <c r="M187" s="67">
        <v>116722.6</v>
      </c>
      <c r="N187" s="67">
        <f>L187-M187</f>
        <v>20598.100000000006</v>
      </c>
      <c r="O187" s="65">
        <v>0</v>
      </c>
      <c r="P187" s="84">
        <f t="shared" si="7"/>
        <v>1</v>
      </c>
      <c r="Q187" s="73"/>
      <c r="R187" s="73"/>
    </row>
    <row r="188" spans="1:18" customFormat="1" ht="29.55" x14ac:dyDescent="0.3">
      <c r="A188" s="18" t="s">
        <v>7</v>
      </c>
      <c r="B188" s="18" t="s">
        <v>164</v>
      </c>
      <c r="C188" s="11">
        <v>594274</v>
      </c>
      <c r="D188" s="11" t="s">
        <v>261</v>
      </c>
      <c r="E188" s="117" t="s">
        <v>269</v>
      </c>
      <c r="F188" s="11" t="s">
        <v>692</v>
      </c>
      <c r="G188" s="11" t="s">
        <v>692</v>
      </c>
      <c r="H188" s="11" t="s">
        <v>692</v>
      </c>
      <c r="I188" s="11" t="s">
        <v>692</v>
      </c>
      <c r="J188" s="67">
        <v>160113.09</v>
      </c>
      <c r="K188" s="67">
        <v>0</v>
      </c>
      <c r="L188" s="67">
        <v>160113.09</v>
      </c>
      <c r="M188" s="67">
        <v>136096.12649999998</v>
      </c>
      <c r="N188" s="67">
        <v>24016.963500000013</v>
      </c>
      <c r="O188" s="65">
        <v>0</v>
      </c>
      <c r="P188" s="84">
        <f t="shared" si="7"/>
        <v>1</v>
      </c>
      <c r="Q188" s="73"/>
      <c r="R188" s="73"/>
    </row>
    <row r="189" spans="1:18" customFormat="1" x14ac:dyDescent="0.3">
      <c r="A189" s="18" t="s">
        <v>7</v>
      </c>
      <c r="B189" s="18" t="s">
        <v>164</v>
      </c>
      <c r="C189" s="11">
        <v>594713</v>
      </c>
      <c r="D189" s="11" t="s">
        <v>270</v>
      </c>
      <c r="E189" s="117" t="s">
        <v>668</v>
      </c>
      <c r="F189" s="11" t="s">
        <v>692</v>
      </c>
      <c r="G189" s="11" t="s">
        <v>692</v>
      </c>
      <c r="H189" s="11" t="s">
        <v>692</v>
      </c>
      <c r="I189" s="11" t="s">
        <v>692</v>
      </c>
      <c r="J189" s="67">
        <v>517547.61</v>
      </c>
      <c r="K189" s="67">
        <v>0</v>
      </c>
      <c r="L189" s="67">
        <v>517547.61</v>
      </c>
      <c r="M189" s="67">
        <v>439915.46849999996</v>
      </c>
      <c r="N189" s="67">
        <v>77632.141500000027</v>
      </c>
      <c r="O189" s="65">
        <v>0</v>
      </c>
      <c r="P189" s="84">
        <f t="shared" si="7"/>
        <v>1</v>
      </c>
      <c r="Q189" s="73"/>
      <c r="R189" s="73"/>
    </row>
    <row r="190" spans="1:18" customFormat="1" ht="29.55" x14ac:dyDescent="0.3">
      <c r="A190" s="18" t="s">
        <v>7</v>
      </c>
      <c r="B190" s="18" t="s">
        <v>164</v>
      </c>
      <c r="C190" s="11">
        <v>594713</v>
      </c>
      <c r="D190" s="11" t="s">
        <v>270</v>
      </c>
      <c r="E190" s="117" t="s">
        <v>271</v>
      </c>
      <c r="F190" s="11" t="s">
        <v>692</v>
      </c>
      <c r="G190" s="11">
        <v>3286</v>
      </c>
      <c r="H190" s="11" t="s">
        <v>696</v>
      </c>
      <c r="I190" s="11" t="s">
        <v>692</v>
      </c>
      <c r="J190" s="67">
        <v>122095.75</v>
      </c>
      <c r="K190" s="67">
        <v>18314.39</v>
      </c>
      <c r="L190" s="67">
        <f>J190-K190</f>
        <v>103781.36</v>
      </c>
      <c r="M190" s="67">
        <f>L190</f>
        <v>103781.36</v>
      </c>
      <c r="N190" s="67">
        <v>0</v>
      </c>
      <c r="O190" s="65">
        <v>0</v>
      </c>
      <c r="P190" s="84">
        <f t="shared" si="7"/>
        <v>0.849999774766935</v>
      </c>
      <c r="Q190" s="73">
        <v>4375.9600000000064</v>
      </c>
      <c r="R190" s="73">
        <v>3719.57</v>
      </c>
    </row>
    <row r="191" spans="1:18" customFormat="1" ht="29.55" x14ac:dyDescent="0.3">
      <c r="A191" s="18" t="s">
        <v>7</v>
      </c>
      <c r="B191" s="18" t="s">
        <v>164</v>
      </c>
      <c r="C191" s="11">
        <v>594713</v>
      </c>
      <c r="D191" s="11" t="s">
        <v>270</v>
      </c>
      <c r="E191" s="117" t="s">
        <v>272</v>
      </c>
      <c r="F191" s="11" t="s">
        <v>692</v>
      </c>
      <c r="G191" s="11">
        <v>3286</v>
      </c>
      <c r="H191" s="11">
        <v>716555</v>
      </c>
      <c r="I191" s="11" t="s">
        <v>703</v>
      </c>
      <c r="J191" s="67">
        <v>270645.73</v>
      </c>
      <c r="K191" s="67">
        <v>135322.86499999999</v>
      </c>
      <c r="L191" s="67">
        <v>135322.86499999999</v>
      </c>
      <c r="M191" s="67">
        <v>135322.86499999999</v>
      </c>
      <c r="N191" s="67">
        <v>0</v>
      </c>
      <c r="O191" s="65">
        <v>0</v>
      </c>
      <c r="P191" s="84">
        <f t="shared" si="7"/>
        <v>0.5</v>
      </c>
      <c r="Q191" s="73"/>
      <c r="R191" s="73"/>
    </row>
    <row r="192" spans="1:18" customFormat="1" ht="29.55" x14ac:dyDescent="0.3">
      <c r="A192" s="18" t="s">
        <v>7</v>
      </c>
      <c r="B192" s="18" t="s">
        <v>164</v>
      </c>
      <c r="C192" s="11">
        <v>594713</v>
      </c>
      <c r="D192" s="11" t="s">
        <v>270</v>
      </c>
      <c r="E192" s="117" t="s">
        <v>273</v>
      </c>
      <c r="F192" s="11" t="s">
        <v>692</v>
      </c>
      <c r="G192" s="11" t="s">
        <v>692</v>
      </c>
      <c r="H192" s="11" t="s">
        <v>692</v>
      </c>
      <c r="I192" s="11" t="s">
        <v>692</v>
      </c>
      <c r="J192" s="67">
        <v>48283.100000000006</v>
      </c>
      <c r="K192" s="67">
        <v>7242.4650000000011</v>
      </c>
      <c r="L192" s="67">
        <v>41040.635000000002</v>
      </c>
      <c r="M192" s="67">
        <v>41040.635000000002</v>
      </c>
      <c r="N192" s="67">
        <v>0</v>
      </c>
      <c r="O192" s="65">
        <v>0</v>
      </c>
      <c r="P192" s="84">
        <f t="shared" si="7"/>
        <v>0.85</v>
      </c>
      <c r="Q192" s="73"/>
      <c r="R192" s="73"/>
    </row>
    <row r="193" spans="1:18" customFormat="1" ht="29.55" x14ac:dyDescent="0.3">
      <c r="A193" s="18" t="s">
        <v>7</v>
      </c>
      <c r="B193" s="18" t="s">
        <v>164</v>
      </c>
      <c r="C193" s="11">
        <v>594713</v>
      </c>
      <c r="D193" s="11" t="s">
        <v>270</v>
      </c>
      <c r="E193" s="117" t="s">
        <v>274</v>
      </c>
      <c r="F193" s="11" t="s">
        <v>692</v>
      </c>
      <c r="G193" s="11" t="s">
        <v>692</v>
      </c>
      <c r="H193" s="11" t="s">
        <v>692</v>
      </c>
      <c r="I193" s="11" t="s">
        <v>692</v>
      </c>
      <c r="J193" s="67">
        <v>75121.95</v>
      </c>
      <c r="K193" s="67">
        <v>0</v>
      </c>
      <c r="L193" s="67">
        <v>75121.95</v>
      </c>
      <c r="M193" s="67">
        <v>63853.657499999994</v>
      </c>
      <c r="N193" s="67">
        <v>11268.292500000003</v>
      </c>
      <c r="O193" s="65">
        <v>0</v>
      </c>
      <c r="P193" s="84">
        <f t="shared" si="7"/>
        <v>1</v>
      </c>
      <c r="Q193" s="73"/>
      <c r="R193" s="73"/>
    </row>
    <row r="194" spans="1:18" customFormat="1" x14ac:dyDescent="0.3">
      <c r="A194" s="18" t="s">
        <v>7</v>
      </c>
      <c r="B194" s="18" t="s">
        <v>164</v>
      </c>
      <c r="C194" s="11">
        <v>594713</v>
      </c>
      <c r="D194" s="11" t="s">
        <v>270</v>
      </c>
      <c r="E194" s="117" t="s">
        <v>275</v>
      </c>
      <c r="F194" s="11" t="s">
        <v>692</v>
      </c>
      <c r="G194" s="11" t="s">
        <v>692</v>
      </c>
      <c r="H194" s="11" t="s">
        <v>692</v>
      </c>
      <c r="I194" s="11" t="s">
        <v>692</v>
      </c>
      <c r="J194" s="67">
        <v>98061.53</v>
      </c>
      <c r="K194" s="67">
        <v>0</v>
      </c>
      <c r="L194" s="67">
        <v>98061.53</v>
      </c>
      <c r="M194" s="67">
        <v>83352.300499999998</v>
      </c>
      <c r="N194" s="67">
        <v>14709.229500000001</v>
      </c>
      <c r="O194" s="65">
        <v>0</v>
      </c>
      <c r="P194" s="84">
        <f t="shared" si="7"/>
        <v>1</v>
      </c>
      <c r="Q194" s="73"/>
      <c r="R194" s="73"/>
    </row>
    <row r="195" spans="1:18" customFormat="1" ht="15.4" x14ac:dyDescent="0.3">
      <c r="A195" s="18" t="s">
        <v>7</v>
      </c>
      <c r="B195" s="18" t="s">
        <v>164</v>
      </c>
      <c r="C195" s="11">
        <v>594713</v>
      </c>
      <c r="D195" s="11" t="s">
        <v>270</v>
      </c>
      <c r="E195" s="117" t="s">
        <v>276</v>
      </c>
      <c r="F195" s="11" t="s">
        <v>692</v>
      </c>
      <c r="G195" s="11" t="s">
        <v>692</v>
      </c>
      <c r="H195" s="11" t="s">
        <v>692</v>
      </c>
      <c r="I195" s="11" t="s">
        <v>692</v>
      </c>
      <c r="J195" s="67">
        <v>98400</v>
      </c>
      <c r="K195" s="67">
        <v>0</v>
      </c>
      <c r="L195" s="67">
        <v>98400</v>
      </c>
      <c r="M195" s="67">
        <f>L195*0.85</f>
        <v>83640</v>
      </c>
      <c r="N195" s="67">
        <f>L195-M195</f>
        <v>14760</v>
      </c>
      <c r="O195" s="65">
        <v>0</v>
      </c>
      <c r="P195" s="84">
        <f t="shared" ref="P195:P258" si="10">L195/J195</f>
        <v>1</v>
      </c>
      <c r="Q195" s="120">
        <v>8045.71</v>
      </c>
      <c r="R195" s="120">
        <v>8045.71</v>
      </c>
    </row>
    <row r="196" spans="1:18" customFormat="1" x14ac:dyDescent="0.3">
      <c r="A196" s="18" t="s">
        <v>7</v>
      </c>
      <c r="B196" s="18" t="s">
        <v>164</v>
      </c>
      <c r="C196" s="11">
        <v>594713</v>
      </c>
      <c r="D196" s="11" t="s">
        <v>270</v>
      </c>
      <c r="E196" s="117" t="s">
        <v>277</v>
      </c>
      <c r="F196" s="49" t="s">
        <v>692</v>
      </c>
      <c r="G196" s="49" t="s">
        <v>692</v>
      </c>
      <c r="H196" s="49" t="s">
        <v>692</v>
      </c>
      <c r="I196" s="49" t="s">
        <v>692</v>
      </c>
      <c r="J196" s="67">
        <v>61499.880000000005</v>
      </c>
      <c r="K196" s="67">
        <v>9224.98</v>
      </c>
      <c r="L196" s="67">
        <v>52274.9</v>
      </c>
      <c r="M196" s="67">
        <v>52274.9</v>
      </c>
      <c r="N196" s="67">
        <v>0</v>
      </c>
      <c r="O196" s="65">
        <v>0</v>
      </c>
      <c r="P196" s="84">
        <f t="shared" si="10"/>
        <v>0.85000003252038858</v>
      </c>
      <c r="Q196" s="73"/>
      <c r="R196" s="73"/>
    </row>
    <row r="197" spans="1:18" customFormat="1" x14ac:dyDescent="0.3">
      <c r="A197" s="18" t="s">
        <v>7</v>
      </c>
      <c r="B197" s="18" t="s">
        <v>164</v>
      </c>
      <c r="C197" s="11">
        <v>594713</v>
      </c>
      <c r="D197" s="11" t="s">
        <v>270</v>
      </c>
      <c r="E197" s="118" t="s">
        <v>278</v>
      </c>
      <c r="F197" s="49" t="s">
        <v>692</v>
      </c>
      <c r="G197" s="49" t="s">
        <v>692</v>
      </c>
      <c r="H197" s="49" t="s">
        <v>692</v>
      </c>
      <c r="I197" s="49" t="s">
        <v>692</v>
      </c>
      <c r="J197" s="67">
        <v>98400</v>
      </c>
      <c r="K197" s="67">
        <v>0</v>
      </c>
      <c r="L197" s="67">
        <v>98400</v>
      </c>
      <c r="M197" s="67">
        <v>83640</v>
      </c>
      <c r="N197" s="67">
        <v>14760</v>
      </c>
      <c r="O197" s="65">
        <v>0</v>
      </c>
      <c r="P197" s="84">
        <f t="shared" si="10"/>
        <v>1</v>
      </c>
      <c r="Q197" s="73"/>
      <c r="R197" s="73"/>
    </row>
    <row r="198" spans="1:18" customFormat="1" x14ac:dyDescent="0.3">
      <c r="A198" s="18" t="s">
        <v>7</v>
      </c>
      <c r="B198" s="18" t="s">
        <v>164</v>
      </c>
      <c r="C198" s="11">
        <v>631431</v>
      </c>
      <c r="D198" s="11" t="s">
        <v>279</v>
      </c>
      <c r="E198" s="118" t="s">
        <v>280</v>
      </c>
      <c r="F198" s="49" t="s">
        <v>692</v>
      </c>
      <c r="G198" s="49" t="s">
        <v>692</v>
      </c>
      <c r="H198" s="49" t="s">
        <v>692</v>
      </c>
      <c r="I198" s="49" t="s">
        <v>692</v>
      </c>
      <c r="J198" s="67">
        <f>173742.619498053+2276.94</f>
        <v>176019.55949805301</v>
      </c>
      <c r="K198" s="67">
        <v>0</v>
      </c>
      <c r="L198" s="67">
        <f>173742.619498053+2276.94</f>
        <v>176019.55949805301</v>
      </c>
      <c r="M198" s="67">
        <f>L198*0.85</f>
        <v>149616.62557334505</v>
      </c>
      <c r="N198" s="67">
        <f t="shared" ref="N198:N205" si="11">L198-M198</f>
        <v>26402.933924707962</v>
      </c>
      <c r="O198" s="65">
        <v>0</v>
      </c>
      <c r="P198" s="84">
        <f t="shared" si="10"/>
        <v>1</v>
      </c>
      <c r="Q198" s="73"/>
      <c r="R198" s="73"/>
    </row>
    <row r="199" spans="1:18" customFormat="1" ht="59.1" x14ac:dyDescent="0.3">
      <c r="A199" s="18" t="s">
        <v>7</v>
      </c>
      <c r="B199" s="18" t="s">
        <v>164</v>
      </c>
      <c r="C199" s="11">
        <v>631431</v>
      </c>
      <c r="D199" s="11" t="s">
        <v>279</v>
      </c>
      <c r="E199" s="118" t="s">
        <v>281</v>
      </c>
      <c r="F199" s="49" t="s">
        <v>692</v>
      </c>
      <c r="G199" s="49">
        <v>3286</v>
      </c>
      <c r="H199" s="49" t="s">
        <v>783</v>
      </c>
      <c r="I199" s="49">
        <v>1210240</v>
      </c>
      <c r="J199" s="67">
        <f>73856.0078916623+247.46</f>
        <v>74103.467891662309</v>
      </c>
      <c r="K199" s="67">
        <f>J199-L199</f>
        <v>12040.210000000006</v>
      </c>
      <c r="L199" s="67">
        <f>61856.0078916623+207.25</f>
        <v>62063.257891662302</v>
      </c>
      <c r="M199" s="67">
        <f>L199</f>
        <v>62063.257891662302</v>
      </c>
      <c r="N199" s="67">
        <f t="shared" si="11"/>
        <v>0</v>
      </c>
      <c r="O199" s="65">
        <v>0</v>
      </c>
      <c r="P199" s="84">
        <f t="shared" si="10"/>
        <v>0.83752163910058108</v>
      </c>
      <c r="Q199" s="73"/>
      <c r="R199" s="73"/>
    </row>
    <row r="200" spans="1:18" customFormat="1" x14ac:dyDescent="0.3">
      <c r="A200" s="18" t="s">
        <v>7</v>
      </c>
      <c r="B200" s="18" t="s">
        <v>164</v>
      </c>
      <c r="C200" s="11">
        <v>631431</v>
      </c>
      <c r="D200" s="11" t="s">
        <v>279</v>
      </c>
      <c r="E200" s="118" t="s">
        <v>282</v>
      </c>
      <c r="F200" s="49" t="s">
        <v>692</v>
      </c>
      <c r="G200" s="49" t="s">
        <v>692</v>
      </c>
      <c r="H200" s="49" t="s">
        <v>692</v>
      </c>
      <c r="I200" s="49" t="s">
        <v>692</v>
      </c>
      <c r="J200" s="67">
        <f>556704.07102496-35862.1</f>
        <v>520841.97102496005</v>
      </c>
      <c r="K200" s="67">
        <v>0</v>
      </c>
      <c r="L200" s="67">
        <f>556704.07102496-35862.1</f>
        <v>520841.97102496005</v>
      </c>
      <c r="M200" s="67">
        <v>442715.68</v>
      </c>
      <c r="N200" s="67">
        <f t="shared" si="11"/>
        <v>78126.291024960054</v>
      </c>
      <c r="O200" s="65">
        <v>0</v>
      </c>
      <c r="P200" s="84">
        <f t="shared" si="10"/>
        <v>1</v>
      </c>
      <c r="Q200" s="73"/>
      <c r="R200" s="73"/>
    </row>
    <row r="201" spans="1:18" customFormat="1" x14ac:dyDescent="0.3">
      <c r="A201" s="18" t="s">
        <v>7</v>
      </c>
      <c r="B201" s="18" t="s">
        <v>164</v>
      </c>
      <c r="C201" s="11">
        <v>631431</v>
      </c>
      <c r="D201" s="11" t="s">
        <v>279</v>
      </c>
      <c r="E201" s="118" t="s">
        <v>283</v>
      </c>
      <c r="F201" s="49" t="s">
        <v>692</v>
      </c>
      <c r="G201" s="49" t="s">
        <v>692</v>
      </c>
      <c r="H201" s="49" t="s">
        <v>692</v>
      </c>
      <c r="I201" s="49" t="s">
        <v>692</v>
      </c>
      <c r="J201" s="67">
        <f>449280.390914061+29801.84</f>
        <v>479082.23091406102</v>
      </c>
      <c r="K201" s="67">
        <v>0</v>
      </c>
      <c r="L201" s="67">
        <f>449280.390914061+29801.84</f>
        <v>479082.23091406102</v>
      </c>
      <c r="M201" s="67">
        <f>L201*0.85</f>
        <v>407219.89627695183</v>
      </c>
      <c r="N201" s="67">
        <f t="shared" si="11"/>
        <v>71862.33463710919</v>
      </c>
      <c r="O201" s="65">
        <v>0</v>
      </c>
      <c r="P201" s="84">
        <f t="shared" si="10"/>
        <v>1</v>
      </c>
      <c r="Q201" s="73"/>
      <c r="R201" s="73"/>
    </row>
    <row r="202" spans="1:18" customFormat="1" x14ac:dyDescent="0.3">
      <c r="A202" s="18" t="s">
        <v>7</v>
      </c>
      <c r="B202" s="18" t="s">
        <v>164</v>
      </c>
      <c r="C202" s="11">
        <v>631431</v>
      </c>
      <c r="D202" s="11" t="s">
        <v>279</v>
      </c>
      <c r="E202" s="118" t="s">
        <v>284</v>
      </c>
      <c r="F202" s="49" t="s">
        <v>692</v>
      </c>
      <c r="G202" s="49" t="s">
        <v>692</v>
      </c>
      <c r="H202" s="49" t="s">
        <v>692</v>
      </c>
      <c r="I202" s="49" t="s">
        <v>692</v>
      </c>
      <c r="J202" s="67">
        <f>238313.005463077+3022.49</f>
        <v>241335.49546307698</v>
      </c>
      <c r="K202" s="67">
        <v>0</v>
      </c>
      <c r="L202" s="67">
        <f>238313.005463077+3022.49</f>
        <v>241335.49546307698</v>
      </c>
      <c r="M202" s="67">
        <v>205135.17</v>
      </c>
      <c r="N202" s="67">
        <f t="shared" si="11"/>
        <v>36200.325463076966</v>
      </c>
      <c r="O202" s="65">
        <v>0</v>
      </c>
      <c r="P202" s="84">
        <f t="shared" si="10"/>
        <v>1</v>
      </c>
      <c r="Q202" s="73"/>
      <c r="R202" s="73"/>
    </row>
    <row r="203" spans="1:18" customFormat="1" ht="29.55" x14ac:dyDescent="0.3">
      <c r="A203" s="18" t="s">
        <v>7</v>
      </c>
      <c r="B203" s="18" t="s">
        <v>164</v>
      </c>
      <c r="C203" s="11">
        <v>631431</v>
      </c>
      <c r="D203" s="11" t="s">
        <v>279</v>
      </c>
      <c r="E203" s="118" t="s">
        <v>285</v>
      </c>
      <c r="F203" s="49" t="s">
        <v>692</v>
      </c>
      <c r="G203" s="49" t="s">
        <v>692</v>
      </c>
      <c r="H203" s="49" t="s">
        <v>692</v>
      </c>
      <c r="I203" s="49" t="s">
        <v>692</v>
      </c>
      <c r="J203" s="67">
        <f>128870.306535543+153.98</f>
        <v>129024.286535543</v>
      </c>
      <c r="K203" s="67">
        <v>0</v>
      </c>
      <c r="L203" s="67">
        <f>128870.306535543+153.98</f>
        <v>129024.286535543</v>
      </c>
      <c r="M203" s="67">
        <v>109670.64</v>
      </c>
      <c r="N203" s="67">
        <f t="shared" si="11"/>
        <v>19353.646535542997</v>
      </c>
      <c r="O203" s="65">
        <v>0</v>
      </c>
      <c r="P203" s="84">
        <f t="shared" si="10"/>
        <v>1</v>
      </c>
      <c r="Q203" s="73"/>
      <c r="R203" s="73"/>
    </row>
    <row r="204" spans="1:18" customFormat="1" x14ac:dyDescent="0.3">
      <c r="A204" s="18" t="s">
        <v>7</v>
      </c>
      <c r="B204" s="18" t="s">
        <v>164</v>
      </c>
      <c r="C204" s="11">
        <v>631431</v>
      </c>
      <c r="D204" s="11" t="s">
        <v>279</v>
      </c>
      <c r="E204" s="118" t="s">
        <v>286</v>
      </c>
      <c r="F204" s="49" t="s">
        <v>692</v>
      </c>
      <c r="G204" s="49" t="s">
        <v>692</v>
      </c>
      <c r="H204" s="49" t="s">
        <v>692</v>
      </c>
      <c r="I204" s="49" t="s">
        <v>692</v>
      </c>
      <c r="J204" s="67">
        <f>350214.162327794+1063.55</f>
        <v>351277.712327794</v>
      </c>
      <c r="K204" s="67">
        <v>0</v>
      </c>
      <c r="L204" s="67">
        <f>350214.162327794+1063.55</f>
        <v>351277.712327794</v>
      </c>
      <c r="M204" s="67">
        <v>298586.06</v>
      </c>
      <c r="N204" s="67">
        <f t="shared" si="11"/>
        <v>52691.652327794</v>
      </c>
      <c r="O204" s="65">
        <v>0</v>
      </c>
      <c r="P204" s="84">
        <f t="shared" si="10"/>
        <v>1</v>
      </c>
      <c r="Q204" s="73"/>
      <c r="R204" s="73"/>
    </row>
    <row r="205" spans="1:18" customFormat="1" x14ac:dyDescent="0.3">
      <c r="A205" s="18" t="s">
        <v>7</v>
      </c>
      <c r="B205" s="18" t="s">
        <v>164</v>
      </c>
      <c r="C205" s="11">
        <v>631431</v>
      </c>
      <c r="D205" s="11" t="s">
        <v>279</v>
      </c>
      <c r="E205" s="118" t="s">
        <v>287</v>
      </c>
      <c r="F205" s="11" t="s">
        <v>692</v>
      </c>
      <c r="G205" s="11" t="s">
        <v>692</v>
      </c>
      <c r="H205" s="11" t="s">
        <v>692</v>
      </c>
      <c r="I205" s="11" t="s">
        <v>692</v>
      </c>
      <c r="J205" s="67">
        <f>27289.4152463216-663.96</f>
        <v>26625.455246321602</v>
      </c>
      <c r="K205" s="67">
        <v>0</v>
      </c>
      <c r="L205" s="67">
        <f>27289.4152463216-663.96</f>
        <v>26625.455246321602</v>
      </c>
      <c r="M205" s="67">
        <f>L205*0.85</f>
        <v>22631.636959373362</v>
      </c>
      <c r="N205" s="67">
        <f t="shared" si="11"/>
        <v>3993.8182869482407</v>
      </c>
      <c r="O205" s="65">
        <v>0</v>
      </c>
      <c r="P205" s="84">
        <f t="shared" si="10"/>
        <v>1</v>
      </c>
      <c r="Q205" s="73"/>
      <c r="R205" s="73"/>
    </row>
    <row r="206" spans="1:18" customFormat="1" x14ac:dyDescent="0.3">
      <c r="A206" s="18" t="s">
        <v>7</v>
      </c>
      <c r="B206" s="18" t="s">
        <v>164</v>
      </c>
      <c r="C206" s="11">
        <v>566187</v>
      </c>
      <c r="D206" s="11" t="s">
        <v>288</v>
      </c>
      <c r="E206" s="117" t="s">
        <v>289</v>
      </c>
      <c r="F206" s="11" t="s">
        <v>692</v>
      </c>
      <c r="G206" s="11" t="s">
        <v>692</v>
      </c>
      <c r="H206" s="11" t="s">
        <v>692</v>
      </c>
      <c r="I206" s="11" t="s">
        <v>692</v>
      </c>
      <c r="J206" s="67">
        <v>1858814.42</v>
      </c>
      <c r="K206" s="67">
        <v>0</v>
      </c>
      <c r="L206" s="67">
        <v>1858814.42</v>
      </c>
      <c r="M206" s="67">
        <v>1579992.257</v>
      </c>
      <c r="N206" s="67">
        <v>278822.16299999994</v>
      </c>
      <c r="O206" s="65">
        <v>0</v>
      </c>
      <c r="P206" s="84">
        <f t="shared" si="10"/>
        <v>1</v>
      </c>
      <c r="Q206" s="73"/>
      <c r="R206" s="73"/>
    </row>
    <row r="207" spans="1:18" customFormat="1" x14ac:dyDescent="0.3">
      <c r="A207" s="18" t="s">
        <v>7</v>
      </c>
      <c r="B207" s="18" t="s">
        <v>164</v>
      </c>
      <c r="C207" s="11">
        <v>566187</v>
      </c>
      <c r="D207" s="11" t="s">
        <v>288</v>
      </c>
      <c r="E207" s="117" t="s">
        <v>290</v>
      </c>
      <c r="F207" s="11" t="s">
        <v>692</v>
      </c>
      <c r="G207" s="11" t="s">
        <v>692</v>
      </c>
      <c r="H207" s="11" t="s">
        <v>692</v>
      </c>
      <c r="I207" s="11" t="s">
        <v>692</v>
      </c>
      <c r="J207" s="67">
        <v>142379.68</v>
      </c>
      <c r="K207" s="67">
        <v>24020.1</v>
      </c>
      <c r="L207" s="67">
        <v>118359.58</v>
      </c>
      <c r="M207" s="67">
        <v>118359.58</v>
      </c>
      <c r="N207" s="67">
        <v>0</v>
      </c>
      <c r="O207" s="65">
        <v>0</v>
      </c>
      <c r="P207" s="84">
        <f t="shared" si="10"/>
        <v>0.83129544890113538</v>
      </c>
      <c r="Q207" s="73"/>
      <c r="R207" s="73"/>
    </row>
    <row r="208" spans="1:18" customFormat="1" x14ac:dyDescent="0.3">
      <c r="A208" s="18" t="s">
        <v>7</v>
      </c>
      <c r="B208" s="18" t="s">
        <v>164</v>
      </c>
      <c r="C208" s="11">
        <v>563431</v>
      </c>
      <c r="D208" s="11" t="s">
        <v>291</v>
      </c>
      <c r="E208" s="117" t="s">
        <v>292</v>
      </c>
      <c r="F208" s="11" t="s">
        <v>692</v>
      </c>
      <c r="G208" s="11" t="s">
        <v>692</v>
      </c>
      <c r="H208" s="11" t="s">
        <v>692</v>
      </c>
      <c r="I208" s="11" t="s">
        <v>692</v>
      </c>
      <c r="J208" s="67">
        <f>1113000</f>
        <v>1113000</v>
      </c>
      <c r="K208" s="67">
        <v>0</v>
      </c>
      <c r="L208" s="67">
        <f>1113000</f>
        <v>1113000</v>
      </c>
      <c r="M208" s="67">
        <f>L208*0.85</f>
        <v>946050</v>
      </c>
      <c r="N208" s="67">
        <f>L208-M208</f>
        <v>166950</v>
      </c>
      <c r="O208" s="65">
        <v>0</v>
      </c>
      <c r="P208" s="84">
        <f t="shared" si="10"/>
        <v>1</v>
      </c>
      <c r="Q208" s="73"/>
      <c r="R208" s="73"/>
    </row>
    <row r="209" spans="1:18" customFormat="1" ht="29.55" x14ac:dyDescent="0.3">
      <c r="A209" s="18" t="s">
        <v>7</v>
      </c>
      <c r="B209" s="18" t="s">
        <v>164</v>
      </c>
      <c r="C209" s="11">
        <v>563431</v>
      </c>
      <c r="D209" s="11" t="s">
        <v>291</v>
      </c>
      <c r="E209" s="117" t="s">
        <v>293</v>
      </c>
      <c r="F209" s="11" t="s">
        <v>692</v>
      </c>
      <c r="G209" s="11">
        <v>3286</v>
      </c>
      <c r="H209" s="11">
        <v>716580</v>
      </c>
      <c r="I209" s="11" t="s">
        <v>692</v>
      </c>
      <c r="J209" s="67">
        <f>150000</f>
        <v>150000</v>
      </c>
      <c r="K209" s="67">
        <f>J209-L209</f>
        <v>75000</v>
      </c>
      <c r="L209" s="67">
        <f>75000</f>
        <v>75000</v>
      </c>
      <c r="M209" s="67">
        <f>L209</f>
        <v>75000</v>
      </c>
      <c r="N209" s="67">
        <v>0</v>
      </c>
      <c r="O209" s="65">
        <v>0</v>
      </c>
      <c r="P209" s="84">
        <f t="shared" si="10"/>
        <v>0.5</v>
      </c>
      <c r="Q209" s="73"/>
      <c r="R209" s="73"/>
    </row>
    <row r="210" spans="1:18" customFormat="1" x14ac:dyDescent="0.3">
      <c r="A210" s="18" t="s">
        <v>7</v>
      </c>
      <c r="B210" s="18" t="s">
        <v>164</v>
      </c>
      <c r="C210" s="11">
        <v>563431</v>
      </c>
      <c r="D210" s="11" t="s">
        <v>291</v>
      </c>
      <c r="E210" s="117" t="s">
        <v>294</v>
      </c>
      <c r="F210" s="11" t="s">
        <v>692</v>
      </c>
      <c r="G210" s="11" t="s">
        <v>692</v>
      </c>
      <c r="H210" s="11" t="s">
        <v>692</v>
      </c>
      <c r="I210" s="11" t="s">
        <v>692</v>
      </c>
      <c r="J210" s="67">
        <f>432000</f>
        <v>432000</v>
      </c>
      <c r="K210" s="67">
        <v>0</v>
      </c>
      <c r="L210" s="67">
        <f>432000</f>
        <v>432000</v>
      </c>
      <c r="M210" s="67">
        <f>L210*0.85</f>
        <v>367200</v>
      </c>
      <c r="N210" s="67">
        <f>L210-M210</f>
        <v>64800</v>
      </c>
      <c r="O210" s="65">
        <v>0</v>
      </c>
      <c r="P210" s="84">
        <f t="shared" si="10"/>
        <v>1</v>
      </c>
      <c r="Q210" s="73"/>
      <c r="R210" s="73"/>
    </row>
    <row r="211" spans="1:18" customFormat="1" x14ac:dyDescent="0.3">
      <c r="A211" s="18" t="s">
        <v>7</v>
      </c>
      <c r="B211" s="18" t="s">
        <v>164</v>
      </c>
      <c r="C211" s="11">
        <v>563431</v>
      </c>
      <c r="D211" s="11" t="s">
        <v>291</v>
      </c>
      <c r="E211" s="117" t="s">
        <v>295</v>
      </c>
      <c r="F211" s="11" t="s">
        <v>692</v>
      </c>
      <c r="G211" s="11" t="s">
        <v>692</v>
      </c>
      <c r="H211" s="11" t="s">
        <v>692</v>
      </c>
      <c r="I211" s="11" t="s">
        <v>692</v>
      </c>
      <c r="J211" s="67">
        <f>5000</f>
        <v>5000</v>
      </c>
      <c r="K211" s="67">
        <v>0</v>
      </c>
      <c r="L211" s="67">
        <f>5000</f>
        <v>5000</v>
      </c>
      <c r="M211" s="67">
        <f>L211*0.85</f>
        <v>4250</v>
      </c>
      <c r="N211" s="67">
        <f>L211-M211</f>
        <v>750</v>
      </c>
      <c r="O211" s="65">
        <v>0</v>
      </c>
      <c r="P211" s="84">
        <f t="shared" si="10"/>
        <v>1</v>
      </c>
      <c r="Q211" s="73"/>
      <c r="R211" s="73"/>
    </row>
    <row r="212" spans="1:18" customFormat="1" ht="29.55" x14ac:dyDescent="0.3">
      <c r="A212" s="18" t="s">
        <v>7</v>
      </c>
      <c r="B212" s="18" t="s">
        <v>164</v>
      </c>
      <c r="C212" s="11">
        <v>472084</v>
      </c>
      <c r="D212" s="11" t="s">
        <v>296</v>
      </c>
      <c r="E212" s="117" t="s">
        <v>297</v>
      </c>
      <c r="F212" s="11" t="s">
        <v>692</v>
      </c>
      <c r="G212" s="11" t="s">
        <v>692</v>
      </c>
      <c r="H212" s="11" t="s">
        <v>692</v>
      </c>
      <c r="I212" s="11" t="s">
        <v>692</v>
      </c>
      <c r="J212" s="67">
        <v>246559.16999999998</v>
      </c>
      <c r="K212" s="67">
        <v>0</v>
      </c>
      <c r="L212" s="67">
        <v>246559.16999999998</v>
      </c>
      <c r="M212" s="67">
        <v>209575.29449999999</v>
      </c>
      <c r="N212" s="67">
        <v>36983.875499999995</v>
      </c>
      <c r="O212" s="65">
        <v>0</v>
      </c>
      <c r="P212" s="84">
        <f t="shared" si="10"/>
        <v>1</v>
      </c>
      <c r="Q212" s="73"/>
      <c r="R212" s="73"/>
    </row>
    <row r="213" spans="1:18" customFormat="1" x14ac:dyDescent="0.3">
      <c r="A213" s="18" t="s">
        <v>7</v>
      </c>
      <c r="B213" s="18" t="s">
        <v>164</v>
      </c>
      <c r="C213" s="11">
        <v>472084</v>
      </c>
      <c r="D213" s="11" t="s">
        <v>296</v>
      </c>
      <c r="E213" s="117" t="s">
        <v>298</v>
      </c>
      <c r="F213" s="11" t="s">
        <v>692</v>
      </c>
      <c r="G213" s="11" t="s">
        <v>692</v>
      </c>
      <c r="H213" s="11" t="s">
        <v>692</v>
      </c>
      <c r="I213" s="11" t="s">
        <v>692</v>
      </c>
      <c r="J213" s="67">
        <v>156172.59999999998</v>
      </c>
      <c r="K213" s="67">
        <v>0</v>
      </c>
      <c r="L213" s="67">
        <v>156172.59999999998</v>
      </c>
      <c r="M213" s="67">
        <v>132746.70999999996</v>
      </c>
      <c r="N213" s="67">
        <v>23425.890000000014</v>
      </c>
      <c r="O213" s="65">
        <v>0</v>
      </c>
      <c r="P213" s="84">
        <f t="shared" si="10"/>
        <v>1</v>
      </c>
      <c r="Q213" s="73"/>
      <c r="R213" s="73"/>
    </row>
    <row r="214" spans="1:18" customFormat="1" ht="29.55" x14ac:dyDescent="0.3">
      <c r="A214" s="18" t="s">
        <v>7</v>
      </c>
      <c r="B214" s="18" t="s">
        <v>164</v>
      </c>
      <c r="C214" s="11">
        <v>472084</v>
      </c>
      <c r="D214" s="11" t="s">
        <v>296</v>
      </c>
      <c r="E214" s="117" t="s">
        <v>299</v>
      </c>
      <c r="F214" s="11" t="s">
        <v>692</v>
      </c>
      <c r="G214" s="11">
        <v>3286</v>
      </c>
      <c r="H214" s="11">
        <v>716584</v>
      </c>
      <c r="I214" s="11">
        <v>1075961</v>
      </c>
      <c r="J214" s="67">
        <v>86283.760000000009</v>
      </c>
      <c r="K214" s="67">
        <v>12942.565451526543</v>
      </c>
      <c r="L214" s="67">
        <v>73341.194548473461</v>
      </c>
      <c r="M214" s="67">
        <v>73341.194548473461</v>
      </c>
      <c r="N214" s="67">
        <v>0</v>
      </c>
      <c r="O214" s="65">
        <v>0</v>
      </c>
      <c r="P214" s="84">
        <f t="shared" si="10"/>
        <v>0.84999998317729142</v>
      </c>
      <c r="Q214" s="73"/>
      <c r="R214" s="73"/>
    </row>
    <row r="215" spans="1:18" customFormat="1" x14ac:dyDescent="0.3">
      <c r="A215" s="18" t="s">
        <v>7</v>
      </c>
      <c r="B215" s="18" t="s">
        <v>164</v>
      </c>
      <c r="C215" s="11">
        <v>472084</v>
      </c>
      <c r="D215" s="11" t="s">
        <v>296</v>
      </c>
      <c r="E215" s="117" t="s">
        <v>300</v>
      </c>
      <c r="F215" s="11" t="s">
        <v>692</v>
      </c>
      <c r="G215" s="11" t="s">
        <v>692</v>
      </c>
      <c r="H215" s="11" t="s">
        <v>692</v>
      </c>
      <c r="I215" s="11" t="s">
        <v>692</v>
      </c>
      <c r="J215" s="67">
        <v>131261.94</v>
      </c>
      <c r="K215" s="67">
        <v>0</v>
      </c>
      <c r="L215" s="67">
        <v>131261.94</v>
      </c>
      <c r="M215" s="67">
        <v>111572.649</v>
      </c>
      <c r="N215" s="67">
        <v>19689.290999999997</v>
      </c>
      <c r="O215" s="65">
        <v>0</v>
      </c>
      <c r="P215" s="84">
        <f t="shared" si="10"/>
        <v>1</v>
      </c>
      <c r="Q215" s="73"/>
      <c r="R215" s="73"/>
    </row>
    <row r="216" spans="1:18" customFormat="1" ht="29.55" x14ac:dyDescent="0.3">
      <c r="A216" s="18" t="s">
        <v>7</v>
      </c>
      <c r="B216" s="18" t="s">
        <v>164</v>
      </c>
      <c r="C216" s="11">
        <v>472084</v>
      </c>
      <c r="D216" s="11" t="s">
        <v>296</v>
      </c>
      <c r="E216" s="117" t="s">
        <v>301</v>
      </c>
      <c r="F216" s="11" t="s">
        <v>692</v>
      </c>
      <c r="G216" s="11" t="s">
        <v>692</v>
      </c>
      <c r="H216" s="11" t="s">
        <v>692</v>
      </c>
      <c r="I216" s="11" t="s">
        <v>692</v>
      </c>
      <c r="J216" s="67">
        <v>73182.179999999993</v>
      </c>
      <c r="K216" s="67">
        <v>10977.326999999997</v>
      </c>
      <c r="L216" s="67">
        <v>62204.852999999996</v>
      </c>
      <c r="M216" s="67">
        <v>62204.852999999996</v>
      </c>
      <c r="N216" s="67">
        <v>0</v>
      </c>
      <c r="O216" s="65">
        <v>0</v>
      </c>
      <c r="P216" s="84">
        <f t="shared" si="10"/>
        <v>0.85</v>
      </c>
      <c r="Q216" s="73"/>
      <c r="R216" s="73"/>
    </row>
    <row r="217" spans="1:18" customFormat="1" x14ac:dyDescent="0.3">
      <c r="A217" s="18" t="s">
        <v>7</v>
      </c>
      <c r="B217" s="18" t="s">
        <v>164</v>
      </c>
      <c r="C217" s="11">
        <v>472084</v>
      </c>
      <c r="D217" s="11" t="s">
        <v>296</v>
      </c>
      <c r="E217" s="117" t="s">
        <v>302</v>
      </c>
      <c r="F217" s="11" t="s">
        <v>692</v>
      </c>
      <c r="G217" s="11" t="s">
        <v>692</v>
      </c>
      <c r="H217" s="11" t="s">
        <v>692</v>
      </c>
      <c r="I217" s="11" t="s">
        <v>692</v>
      </c>
      <c r="J217" s="67">
        <v>121203.55</v>
      </c>
      <c r="K217" s="67">
        <v>0</v>
      </c>
      <c r="L217" s="67">
        <v>121203.55</v>
      </c>
      <c r="M217" s="67">
        <v>103023.0175</v>
      </c>
      <c r="N217" s="67">
        <v>18180.532500000001</v>
      </c>
      <c r="O217" s="65">
        <v>0</v>
      </c>
      <c r="P217" s="84">
        <f t="shared" si="10"/>
        <v>1</v>
      </c>
      <c r="Q217" s="73"/>
      <c r="R217" s="73"/>
    </row>
    <row r="218" spans="1:18" customFormat="1" x14ac:dyDescent="0.3">
      <c r="A218" s="18" t="s">
        <v>7</v>
      </c>
      <c r="B218" s="18" t="s">
        <v>164</v>
      </c>
      <c r="C218" s="11">
        <v>472084</v>
      </c>
      <c r="D218" s="11" t="s">
        <v>296</v>
      </c>
      <c r="E218" s="117" t="s">
        <v>303</v>
      </c>
      <c r="F218" s="11" t="s">
        <v>692</v>
      </c>
      <c r="G218" s="11" t="s">
        <v>692</v>
      </c>
      <c r="H218" s="11" t="s">
        <v>692</v>
      </c>
      <c r="I218" s="11" t="s">
        <v>692</v>
      </c>
      <c r="J218" s="67">
        <v>141764.81999999998</v>
      </c>
      <c r="K218" s="67">
        <v>0</v>
      </c>
      <c r="L218" s="67">
        <v>141764.81999999998</v>
      </c>
      <c r="M218" s="67">
        <v>120500.09699999998</v>
      </c>
      <c r="N218" s="67">
        <v>21264.722999999998</v>
      </c>
      <c r="O218" s="65">
        <v>0</v>
      </c>
      <c r="P218" s="84">
        <f t="shared" si="10"/>
        <v>1</v>
      </c>
      <c r="Q218" s="73"/>
      <c r="R218" s="73"/>
    </row>
    <row r="219" spans="1:18" customFormat="1" x14ac:dyDescent="0.3">
      <c r="A219" s="18" t="s">
        <v>7</v>
      </c>
      <c r="B219" s="11" t="s">
        <v>164</v>
      </c>
      <c r="C219" s="11">
        <v>597865</v>
      </c>
      <c r="D219" s="11" t="s">
        <v>304</v>
      </c>
      <c r="E219" s="117" t="s">
        <v>305</v>
      </c>
      <c r="F219" s="11" t="s">
        <v>692</v>
      </c>
      <c r="G219" s="11" t="s">
        <v>692</v>
      </c>
      <c r="H219" s="11" t="s">
        <v>692</v>
      </c>
      <c r="I219" s="11" t="s">
        <v>692</v>
      </c>
      <c r="J219" s="67">
        <v>993000</v>
      </c>
      <c r="K219" s="67">
        <v>0</v>
      </c>
      <c r="L219" s="67">
        <v>993000</v>
      </c>
      <c r="M219" s="67">
        <v>844050</v>
      </c>
      <c r="N219" s="67">
        <v>148950</v>
      </c>
      <c r="O219" s="65">
        <v>0</v>
      </c>
      <c r="P219" s="84">
        <f t="shared" si="10"/>
        <v>1</v>
      </c>
      <c r="Q219" s="73"/>
      <c r="R219" s="73"/>
    </row>
    <row r="220" spans="1:18" customFormat="1" x14ac:dyDescent="0.3">
      <c r="A220" s="18" t="s">
        <v>7</v>
      </c>
      <c r="B220" s="11" t="s">
        <v>164</v>
      </c>
      <c r="C220" s="11">
        <v>597865</v>
      </c>
      <c r="D220" s="11" t="s">
        <v>304</v>
      </c>
      <c r="E220" s="117" t="s">
        <v>669</v>
      </c>
      <c r="F220" s="11" t="s">
        <v>692</v>
      </c>
      <c r="G220" s="11" t="s">
        <v>692</v>
      </c>
      <c r="H220" s="11" t="s">
        <v>692</v>
      </c>
      <c r="I220" s="11" t="s">
        <v>692</v>
      </c>
      <c r="J220" s="67">
        <v>361620</v>
      </c>
      <c r="K220" s="67">
        <v>0</v>
      </c>
      <c r="L220" s="67">
        <v>361620</v>
      </c>
      <c r="M220" s="67">
        <v>307377</v>
      </c>
      <c r="N220" s="67">
        <v>54243</v>
      </c>
      <c r="O220" s="65">
        <v>0</v>
      </c>
      <c r="P220" s="84">
        <f t="shared" si="10"/>
        <v>1</v>
      </c>
      <c r="Q220" s="73"/>
      <c r="R220" s="73"/>
    </row>
    <row r="221" spans="1:18" customFormat="1" x14ac:dyDescent="0.3">
      <c r="A221" s="18" t="s">
        <v>7</v>
      </c>
      <c r="B221" s="11" t="s">
        <v>164</v>
      </c>
      <c r="C221" s="11">
        <v>597865</v>
      </c>
      <c r="D221" s="11" t="s">
        <v>304</v>
      </c>
      <c r="E221" s="117" t="s">
        <v>306</v>
      </c>
      <c r="F221" s="11" t="s">
        <v>692</v>
      </c>
      <c r="G221" s="11" t="s">
        <v>692</v>
      </c>
      <c r="H221" s="11" t="s">
        <v>692</v>
      </c>
      <c r="I221" s="11" t="s">
        <v>692</v>
      </c>
      <c r="J221" s="67">
        <v>40000</v>
      </c>
      <c r="K221" s="67">
        <v>0</v>
      </c>
      <c r="L221" s="67">
        <v>40000</v>
      </c>
      <c r="M221" s="67">
        <v>34000</v>
      </c>
      <c r="N221" s="67">
        <v>6000</v>
      </c>
      <c r="O221" s="65">
        <v>0</v>
      </c>
      <c r="P221" s="84">
        <f t="shared" si="10"/>
        <v>1</v>
      </c>
      <c r="Q221" s="73"/>
      <c r="R221" s="73"/>
    </row>
    <row r="222" spans="1:18" customFormat="1" x14ac:dyDescent="0.3">
      <c r="A222" s="18" t="s">
        <v>7</v>
      </c>
      <c r="B222" s="11" t="s">
        <v>164</v>
      </c>
      <c r="C222" s="11">
        <v>597865</v>
      </c>
      <c r="D222" s="11" t="s">
        <v>304</v>
      </c>
      <c r="E222" s="117" t="s">
        <v>307</v>
      </c>
      <c r="F222" s="11" t="s">
        <v>692</v>
      </c>
      <c r="G222" s="11" t="s">
        <v>692</v>
      </c>
      <c r="H222" s="11" t="s">
        <v>692</v>
      </c>
      <c r="I222" s="11" t="s">
        <v>692</v>
      </c>
      <c r="J222" s="67">
        <v>170000</v>
      </c>
      <c r="K222" s="67">
        <v>0</v>
      </c>
      <c r="L222" s="67">
        <v>170000</v>
      </c>
      <c r="M222" s="67">
        <v>144500</v>
      </c>
      <c r="N222" s="67">
        <v>25500</v>
      </c>
      <c r="O222" s="65">
        <v>0</v>
      </c>
      <c r="P222" s="84">
        <f t="shared" si="10"/>
        <v>1</v>
      </c>
      <c r="Q222" s="73"/>
      <c r="R222" s="73"/>
    </row>
    <row r="223" spans="1:18" customFormat="1" x14ac:dyDescent="0.3">
      <c r="A223" s="18" t="s">
        <v>7</v>
      </c>
      <c r="B223" s="11" t="s">
        <v>164</v>
      </c>
      <c r="C223" s="11">
        <v>597865</v>
      </c>
      <c r="D223" s="11" t="s">
        <v>304</v>
      </c>
      <c r="E223" s="117" t="s">
        <v>308</v>
      </c>
      <c r="F223" s="11" t="s">
        <v>692</v>
      </c>
      <c r="G223" s="11" t="s">
        <v>692</v>
      </c>
      <c r="H223" s="11" t="s">
        <v>692</v>
      </c>
      <c r="I223" s="11" t="s">
        <v>692</v>
      </c>
      <c r="J223" s="67">
        <v>50000</v>
      </c>
      <c r="K223" s="67">
        <v>0</v>
      </c>
      <c r="L223" s="67">
        <v>50000</v>
      </c>
      <c r="M223" s="67">
        <v>42500</v>
      </c>
      <c r="N223" s="67">
        <v>7500</v>
      </c>
      <c r="O223" s="65">
        <v>0</v>
      </c>
      <c r="P223" s="84">
        <f t="shared" si="10"/>
        <v>1</v>
      </c>
      <c r="Q223" s="73"/>
      <c r="R223" s="73"/>
    </row>
    <row r="224" spans="1:18" customFormat="1" x14ac:dyDescent="0.3">
      <c r="A224" s="18" t="s">
        <v>7</v>
      </c>
      <c r="B224" s="11" t="s">
        <v>164</v>
      </c>
      <c r="C224" s="11">
        <v>597865</v>
      </c>
      <c r="D224" s="11" t="s">
        <v>304</v>
      </c>
      <c r="E224" s="117" t="s">
        <v>309</v>
      </c>
      <c r="F224" s="11" t="s">
        <v>692</v>
      </c>
      <c r="G224" s="11" t="s">
        <v>692</v>
      </c>
      <c r="H224" s="11" t="s">
        <v>692</v>
      </c>
      <c r="I224" s="11" t="s">
        <v>692</v>
      </c>
      <c r="J224" s="67">
        <v>50000</v>
      </c>
      <c r="K224" s="67">
        <v>7500</v>
      </c>
      <c r="L224" s="67">
        <v>42500</v>
      </c>
      <c r="M224" s="67">
        <v>42500</v>
      </c>
      <c r="N224" s="67">
        <v>0</v>
      </c>
      <c r="O224" s="65">
        <v>0</v>
      </c>
      <c r="P224" s="84">
        <f t="shared" si="10"/>
        <v>0.85</v>
      </c>
      <c r="Q224" s="73"/>
      <c r="R224" s="73"/>
    </row>
    <row r="225" spans="1:18" customFormat="1" x14ac:dyDescent="0.3">
      <c r="A225" s="18" t="s">
        <v>7</v>
      </c>
      <c r="B225" s="11" t="s">
        <v>164</v>
      </c>
      <c r="C225" s="11">
        <v>617918</v>
      </c>
      <c r="D225" s="11" t="s">
        <v>310</v>
      </c>
      <c r="E225" s="117" t="s">
        <v>311</v>
      </c>
      <c r="F225" s="11" t="s">
        <v>692</v>
      </c>
      <c r="G225" s="11" t="s">
        <v>692</v>
      </c>
      <c r="H225" s="11" t="s">
        <v>692</v>
      </c>
      <c r="I225" s="11" t="s">
        <v>692</v>
      </c>
      <c r="J225" s="67">
        <v>1806000</v>
      </c>
      <c r="K225" s="67">
        <v>0</v>
      </c>
      <c r="L225" s="67">
        <v>1806000</v>
      </c>
      <c r="M225" s="67">
        <v>1535100</v>
      </c>
      <c r="N225" s="67">
        <v>270900</v>
      </c>
      <c r="O225" s="65">
        <v>0</v>
      </c>
      <c r="P225" s="84">
        <f t="shared" si="10"/>
        <v>1</v>
      </c>
      <c r="Q225" s="73"/>
      <c r="R225" s="73"/>
    </row>
    <row r="226" spans="1:18" customFormat="1" x14ac:dyDescent="0.3">
      <c r="A226" s="18" t="s">
        <v>7</v>
      </c>
      <c r="B226" s="11" t="s">
        <v>164</v>
      </c>
      <c r="C226" s="11">
        <v>500491</v>
      </c>
      <c r="D226" s="11" t="s">
        <v>312</v>
      </c>
      <c r="E226" s="117" t="s">
        <v>313</v>
      </c>
      <c r="F226" s="11" t="s">
        <v>692</v>
      </c>
      <c r="G226" s="11" t="s">
        <v>692</v>
      </c>
      <c r="H226" s="11" t="s">
        <v>692</v>
      </c>
      <c r="I226" s="11" t="s">
        <v>692</v>
      </c>
      <c r="J226" s="67">
        <v>987630</v>
      </c>
      <c r="K226" s="67">
        <v>0</v>
      </c>
      <c r="L226" s="67">
        <v>987630</v>
      </c>
      <c r="M226" s="67">
        <v>839485.5</v>
      </c>
      <c r="N226" s="67">
        <v>148144.5</v>
      </c>
      <c r="O226" s="65">
        <v>0</v>
      </c>
      <c r="P226" s="84">
        <f t="shared" si="10"/>
        <v>1</v>
      </c>
      <c r="Q226" s="73"/>
      <c r="R226" s="73"/>
    </row>
    <row r="227" spans="1:18" customFormat="1" x14ac:dyDescent="0.3">
      <c r="A227" s="18" t="s">
        <v>7</v>
      </c>
      <c r="B227" s="11" t="s">
        <v>164</v>
      </c>
      <c r="C227" s="11">
        <v>500491</v>
      </c>
      <c r="D227" s="11" t="s">
        <v>312</v>
      </c>
      <c r="E227" s="117" t="s">
        <v>314</v>
      </c>
      <c r="F227" s="11" t="s">
        <v>692</v>
      </c>
      <c r="G227" s="11" t="s">
        <v>692</v>
      </c>
      <c r="H227" s="11" t="s">
        <v>692</v>
      </c>
      <c r="I227" s="11" t="s">
        <v>692</v>
      </c>
      <c r="J227" s="67">
        <v>84180</v>
      </c>
      <c r="K227" s="67">
        <v>0</v>
      </c>
      <c r="L227" s="67">
        <v>84180</v>
      </c>
      <c r="M227" s="67">
        <v>71553</v>
      </c>
      <c r="N227" s="67">
        <v>12627</v>
      </c>
      <c r="O227" s="65">
        <v>0</v>
      </c>
      <c r="P227" s="84">
        <f t="shared" si="10"/>
        <v>1</v>
      </c>
      <c r="Q227" s="73"/>
      <c r="R227" s="73"/>
    </row>
    <row r="228" spans="1:18" customFormat="1" x14ac:dyDescent="0.3">
      <c r="A228" s="18" t="s">
        <v>7</v>
      </c>
      <c r="B228" s="11" t="s">
        <v>164</v>
      </c>
      <c r="C228" s="11">
        <v>500491</v>
      </c>
      <c r="D228" s="11" t="s">
        <v>312</v>
      </c>
      <c r="E228" s="117" t="s">
        <v>315</v>
      </c>
      <c r="F228" s="11" t="s">
        <v>692</v>
      </c>
      <c r="G228" s="11" t="s">
        <v>692</v>
      </c>
      <c r="H228" s="11" t="s">
        <v>692</v>
      </c>
      <c r="I228" s="11" t="s">
        <v>692</v>
      </c>
      <c r="J228" s="67">
        <v>56200.959999999999</v>
      </c>
      <c r="K228" s="67">
        <v>0</v>
      </c>
      <c r="L228" s="67">
        <v>56200.959999999999</v>
      </c>
      <c r="M228" s="67">
        <v>47770.815999999999</v>
      </c>
      <c r="N228" s="67">
        <v>8430.1440000000002</v>
      </c>
      <c r="O228" s="65">
        <v>0</v>
      </c>
      <c r="P228" s="84">
        <f t="shared" si="10"/>
        <v>1</v>
      </c>
      <c r="Q228" s="73"/>
      <c r="R228" s="73"/>
    </row>
    <row r="229" spans="1:18" customFormat="1" x14ac:dyDescent="0.3">
      <c r="A229" s="18" t="s">
        <v>7</v>
      </c>
      <c r="B229" s="11" t="s">
        <v>164</v>
      </c>
      <c r="C229" s="11">
        <v>500491</v>
      </c>
      <c r="D229" s="11" t="s">
        <v>312</v>
      </c>
      <c r="E229" s="117" t="s">
        <v>316</v>
      </c>
      <c r="F229" s="11" t="s">
        <v>692</v>
      </c>
      <c r="G229" s="11">
        <v>3286</v>
      </c>
      <c r="H229" s="11">
        <v>1464622</v>
      </c>
      <c r="I229" s="11" t="s">
        <v>692</v>
      </c>
      <c r="J229" s="67">
        <v>42650</v>
      </c>
      <c r="K229" s="67">
        <v>8530</v>
      </c>
      <c r="L229" s="67">
        <v>34120</v>
      </c>
      <c r="M229" s="67">
        <v>34120</v>
      </c>
      <c r="N229" s="67">
        <v>0</v>
      </c>
      <c r="O229" s="65">
        <v>0</v>
      </c>
      <c r="P229" s="84">
        <f t="shared" si="10"/>
        <v>0.8</v>
      </c>
      <c r="Q229" s="73"/>
      <c r="R229" s="73"/>
    </row>
    <row r="230" spans="1:18" customFormat="1" x14ac:dyDescent="0.3">
      <c r="A230" s="18" t="s">
        <v>7</v>
      </c>
      <c r="B230" s="11" t="s">
        <v>164</v>
      </c>
      <c r="C230" s="11">
        <v>500491</v>
      </c>
      <c r="D230" s="11" t="s">
        <v>312</v>
      </c>
      <c r="E230" s="117" t="s">
        <v>317</v>
      </c>
      <c r="F230" s="11" t="s">
        <v>692</v>
      </c>
      <c r="G230" s="11">
        <v>3286</v>
      </c>
      <c r="H230" s="11">
        <v>1464639</v>
      </c>
      <c r="I230" s="11" t="s">
        <v>692</v>
      </c>
      <c r="J230" s="67">
        <v>20650</v>
      </c>
      <c r="K230" s="67">
        <v>4130</v>
      </c>
      <c r="L230" s="67">
        <v>16520</v>
      </c>
      <c r="M230" s="67">
        <v>16520</v>
      </c>
      <c r="N230" s="67">
        <v>0</v>
      </c>
      <c r="O230" s="65">
        <v>0</v>
      </c>
      <c r="P230" s="84">
        <f t="shared" si="10"/>
        <v>0.8</v>
      </c>
      <c r="Q230" s="73"/>
      <c r="R230" s="73"/>
    </row>
    <row r="231" spans="1:18" customFormat="1" x14ac:dyDescent="0.3">
      <c r="A231" s="18" t="s">
        <v>7</v>
      </c>
      <c r="B231" s="11" t="s">
        <v>164</v>
      </c>
      <c r="C231" s="11">
        <v>500491</v>
      </c>
      <c r="D231" s="11" t="s">
        <v>312</v>
      </c>
      <c r="E231" s="117" t="s">
        <v>318</v>
      </c>
      <c r="F231" s="11" t="s">
        <v>692</v>
      </c>
      <c r="G231" s="11">
        <v>3286</v>
      </c>
      <c r="H231" s="11">
        <v>1471652</v>
      </c>
      <c r="I231" s="11" t="s">
        <v>692</v>
      </c>
      <c r="J231" s="67">
        <v>84747</v>
      </c>
      <c r="K231" s="67">
        <v>42373.5</v>
      </c>
      <c r="L231" s="67">
        <v>42373.5</v>
      </c>
      <c r="M231" s="67">
        <v>42373.5</v>
      </c>
      <c r="N231" s="67">
        <v>0</v>
      </c>
      <c r="O231" s="65">
        <v>0</v>
      </c>
      <c r="P231" s="84">
        <f t="shared" si="10"/>
        <v>0.5</v>
      </c>
      <c r="Q231" s="73"/>
      <c r="R231" s="73"/>
    </row>
    <row r="232" spans="1:18" customFormat="1" x14ac:dyDescent="0.3">
      <c r="A232" s="18" t="s">
        <v>7</v>
      </c>
      <c r="B232" s="11" t="s">
        <v>164</v>
      </c>
      <c r="C232" s="11">
        <v>500491</v>
      </c>
      <c r="D232" s="11" t="s">
        <v>312</v>
      </c>
      <c r="E232" s="117" t="s">
        <v>319</v>
      </c>
      <c r="F232" s="11" t="s">
        <v>692</v>
      </c>
      <c r="G232" s="11">
        <v>3286</v>
      </c>
      <c r="H232" s="11">
        <v>1464797</v>
      </c>
      <c r="I232" s="11" t="s">
        <v>692</v>
      </c>
      <c r="J232" s="67">
        <v>25584</v>
      </c>
      <c r="K232" s="67">
        <v>3837.6</v>
      </c>
      <c r="L232" s="67">
        <v>21746.400000000001</v>
      </c>
      <c r="M232" s="67">
        <v>21746.400000000001</v>
      </c>
      <c r="N232" s="67">
        <v>0</v>
      </c>
      <c r="O232" s="65">
        <v>0</v>
      </c>
      <c r="P232" s="84">
        <f t="shared" si="10"/>
        <v>0.85000000000000009</v>
      </c>
      <c r="Q232" s="73"/>
      <c r="R232" s="73"/>
    </row>
    <row r="233" spans="1:18" customFormat="1" x14ac:dyDescent="0.3">
      <c r="A233" s="18" t="s">
        <v>7</v>
      </c>
      <c r="B233" s="11" t="s">
        <v>164</v>
      </c>
      <c r="C233" s="11">
        <v>500491</v>
      </c>
      <c r="D233" s="11" t="s">
        <v>312</v>
      </c>
      <c r="E233" s="117" t="s">
        <v>320</v>
      </c>
      <c r="F233" s="49" t="s">
        <v>692</v>
      </c>
      <c r="G233" s="49">
        <v>3286</v>
      </c>
      <c r="H233" s="49">
        <v>1464678</v>
      </c>
      <c r="I233" s="49" t="s">
        <v>692</v>
      </c>
      <c r="J233" s="67">
        <v>452824.5</v>
      </c>
      <c r="K233" s="67">
        <v>90564.9</v>
      </c>
      <c r="L233" s="67">
        <v>362259.6</v>
      </c>
      <c r="M233" s="67">
        <v>362259.6</v>
      </c>
      <c r="N233" s="67">
        <v>0</v>
      </c>
      <c r="O233" s="65">
        <v>0</v>
      </c>
      <c r="P233" s="84">
        <f t="shared" si="10"/>
        <v>0.79999999999999993</v>
      </c>
      <c r="Q233" s="73"/>
      <c r="R233" s="73"/>
    </row>
    <row r="234" spans="1:18" customFormat="1" x14ac:dyDescent="0.3">
      <c r="A234" s="18" t="s">
        <v>7</v>
      </c>
      <c r="B234" s="11" t="s">
        <v>164</v>
      </c>
      <c r="C234" s="11">
        <v>639237</v>
      </c>
      <c r="D234" s="11" t="s">
        <v>321</v>
      </c>
      <c r="E234" s="118" t="s">
        <v>322</v>
      </c>
      <c r="F234" s="49" t="s">
        <v>692</v>
      </c>
      <c r="G234" s="49" t="s">
        <v>692</v>
      </c>
      <c r="H234" s="49" t="s">
        <v>692</v>
      </c>
      <c r="I234" s="49" t="s">
        <v>692</v>
      </c>
      <c r="J234" s="67">
        <v>702535.66</v>
      </c>
      <c r="K234" s="67">
        <v>0</v>
      </c>
      <c r="L234" s="67">
        <v>702535.66</v>
      </c>
      <c r="M234" s="67">
        <v>597155.31099999999</v>
      </c>
      <c r="N234" s="67">
        <v>105380.34900000005</v>
      </c>
      <c r="O234" s="65">
        <v>0</v>
      </c>
      <c r="P234" s="84">
        <f t="shared" si="10"/>
        <v>1</v>
      </c>
      <c r="Q234" s="73"/>
      <c r="R234" s="73"/>
    </row>
    <row r="235" spans="1:18" customFormat="1" x14ac:dyDescent="0.3">
      <c r="A235" s="18" t="s">
        <v>7</v>
      </c>
      <c r="B235" s="11" t="s">
        <v>164</v>
      </c>
      <c r="C235" s="11">
        <v>639237</v>
      </c>
      <c r="D235" s="11" t="s">
        <v>321</v>
      </c>
      <c r="E235" s="118" t="s">
        <v>323</v>
      </c>
      <c r="F235" s="49" t="s">
        <v>692</v>
      </c>
      <c r="G235" s="49" t="s">
        <v>692</v>
      </c>
      <c r="H235" s="49" t="s">
        <v>692</v>
      </c>
      <c r="I235" s="49" t="s">
        <v>692</v>
      </c>
      <c r="J235" s="67">
        <v>80000</v>
      </c>
      <c r="K235" s="67">
        <v>0</v>
      </c>
      <c r="L235" s="67">
        <v>80000</v>
      </c>
      <c r="M235" s="67">
        <v>68000</v>
      </c>
      <c r="N235" s="67">
        <v>12000</v>
      </c>
      <c r="O235" s="65">
        <v>0</v>
      </c>
      <c r="P235" s="84">
        <f t="shared" si="10"/>
        <v>1</v>
      </c>
      <c r="Q235" s="73"/>
      <c r="R235" s="73"/>
    </row>
    <row r="236" spans="1:18" customFormat="1" x14ac:dyDescent="0.3">
      <c r="A236" s="18" t="s">
        <v>7</v>
      </c>
      <c r="B236" s="11" t="s">
        <v>164</v>
      </c>
      <c r="C236" s="11">
        <v>639237</v>
      </c>
      <c r="D236" s="11" t="s">
        <v>321</v>
      </c>
      <c r="E236" s="118" t="s">
        <v>324</v>
      </c>
      <c r="F236" s="49" t="s">
        <v>692</v>
      </c>
      <c r="G236" s="49" t="s">
        <v>692</v>
      </c>
      <c r="H236" s="49" t="s">
        <v>692</v>
      </c>
      <c r="I236" s="49" t="s">
        <v>692</v>
      </c>
      <c r="J236" s="67">
        <v>168044.28291571434</v>
      </c>
      <c r="K236" s="67">
        <v>0</v>
      </c>
      <c r="L236" s="67">
        <v>168044.28291571434</v>
      </c>
      <c r="M236" s="67">
        <v>142837.64047835718</v>
      </c>
      <c r="N236" s="67">
        <v>25206.642437357164</v>
      </c>
      <c r="O236" s="65">
        <v>0</v>
      </c>
      <c r="P236" s="84">
        <f t="shared" si="10"/>
        <v>1</v>
      </c>
      <c r="Q236" s="73"/>
      <c r="R236" s="73"/>
    </row>
    <row r="237" spans="1:18" customFormat="1" x14ac:dyDescent="0.3">
      <c r="A237" s="18" t="s">
        <v>7</v>
      </c>
      <c r="B237" s="11" t="s">
        <v>164</v>
      </c>
      <c r="C237" s="11">
        <v>639237</v>
      </c>
      <c r="D237" s="11" t="s">
        <v>321</v>
      </c>
      <c r="E237" s="118" t="s">
        <v>325</v>
      </c>
      <c r="F237" s="49" t="s">
        <v>692</v>
      </c>
      <c r="G237" s="49" t="s">
        <v>692</v>
      </c>
      <c r="H237" s="49" t="s">
        <v>692</v>
      </c>
      <c r="I237" s="49" t="s">
        <v>692</v>
      </c>
      <c r="J237" s="67">
        <v>88622.132084285404</v>
      </c>
      <c r="K237" s="67">
        <v>0</v>
      </c>
      <c r="L237" s="67">
        <v>88622.132084285404</v>
      </c>
      <c r="M237" s="67">
        <v>75328.812271642586</v>
      </c>
      <c r="N237" s="67">
        <v>13293.319812642818</v>
      </c>
      <c r="O237" s="65">
        <v>0</v>
      </c>
      <c r="P237" s="84">
        <f t="shared" si="10"/>
        <v>1</v>
      </c>
      <c r="Q237" s="73"/>
      <c r="R237" s="73"/>
    </row>
    <row r="238" spans="1:18" customFormat="1" x14ac:dyDescent="0.3">
      <c r="A238" s="18" t="s">
        <v>7</v>
      </c>
      <c r="B238" s="11" t="s">
        <v>164</v>
      </c>
      <c r="C238" s="11">
        <v>639237</v>
      </c>
      <c r="D238" s="11" t="s">
        <v>321</v>
      </c>
      <c r="E238" s="118" t="s">
        <v>326</v>
      </c>
      <c r="F238" s="49" t="s">
        <v>692</v>
      </c>
      <c r="G238" s="49">
        <v>3286</v>
      </c>
      <c r="H238" s="49">
        <v>1464824</v>
      </c>
      <c r="I238" s="49" t="s">
        <v>692</v>
      </c>
      <c r="J238" s="67">
        <v>30000</v>
      </c>
      <c r="K238" s="67">
        <v>4500</v>
      </c>
      <c r="L238" s="67">
        <v>25500</v>
      </c>
      <c r="M238" s="67">
        <v>25500</v>
      </c>
      <c r="N238" s="67">
        <v>0</v>
      </c>
      <c r="O238" s="65">
        <v>0</v>
      </c>
      <c r="P238" s="84">
        <f t="shared" si="10"/>
        <v>0.85</v>
      </c>
      <c r="Q238" s="73"/>
      <c r="R238" s="73"/>
    </row>
    <row r="239" spans="1:18" customFormat="1" x14ac:dyDescent="0.3">
      <c r="A239" s="18" t="s">
        <v>7</v>
      </c>
      <c r="B239" s="11" t="s">
        <v>164</v>
      </c>
      <c r="C239" s="11">
        <v>639237</v>
      </c>
      <c r="D239" s="11" t="s">
        <v>321</v>
      </c>
      <c r="E239" s="118" t="s">
        <v>327</v>
      </c>
      <c r="F239" s="49" t="s">
        <v>692</v>
      </c>
      <c r="G239" s="49">
        <v>3286</v>
      </c>
      <c r="H239" s="49">
        <v>1464454</v>
      </c>
      <c r="I239" s="49" t="s">
        <v>692</v>
      </c>
      <c r="J239" s="67">
        <v>100000</v>
      </c>
      <c r="K239" s="67">
        <v>15000</v>
      </c>
      <c r="L239" s="67">
        <v>85000</v>
      </c>
      <c r="M239" s="67">
        <v>85000</v>
      </c>
      <c r="N239" s="67">
        <v>0</v>
      </c>
      <c r="O239" s="65">
        <v>0</v>
      </c>
      <c r="P239" s="84">
        <f t="shared" si="10"/>
        <v>0.85</v>
      </c>
      <c r="Q239" s="73"/>
      <c r="R239" s="73"/>
    </row>
    <row r="240" spans="1:18" customFormat="1" ht="29.55" x14ac:dyDescent="0.3">
      <c r="A240" s="18" t="s">
        <v>7</v>
      </c>
      <c r="B240" s="11" t="s">
        <v>164</v>
      </c>
      <c r="C240" s="11">
        <v>639237</v>
      </c>
      <c r="D240" s="11" t="s">
        <v>321</v>
      </c>
      <c r="E240" s="118" t="s">
        <v>328</v>
      </c>
      <c r="F240" s="49" t="s">
        <v>692</v>
      </c>
      <c r="G240" s="49" t="s">
        <v>692</v>
      </c>
      <c r="H240" s="49" t="s">
        <v>692</v>
      </c>
      <c r="I240" s="49" t="s">
        <v>692</v>
      </c>
      <c r="J240" s="67">
        <v>99630</v>
      </c>
      <c r="K240" s="67">
        <v>0</v>
      </c>
      <c r="L240" s="67">
        <v>99630</v>
      </c>
      <c r="M240" s="67">
        <v>84685.5</v>
      </c>
      <c r="N240" s="67">
        <v>14944.5</v>
      </c>
      <c r="O240" s="65">
        <v>0</v>
      </c>
      <c r="P240" s="84">
        <f t="shared" si="10"/>
        <v>1</v>
      </c>
      <c r="Q240" s="73"/>
      <c r="R240" s="73"/>
    </row>
    <row r="241" spans="1:18" customFormat="1" x14ac:dyDescent="0.3">
      <c r="A241" s="18" t="s">
        <v>7</v>
      </c>
      <c r="B241" s="11" t="s">
        <v>164</v>
      </c>
      <c r="C241" s="11">
        <v>639237</v>
      </c>
      <c r="D241" s="11" t="s">
        <v>321</v>
      </c>
      <c r="E241" s="118" t="s">
        <v>329</v>
      </c>
      <c r="F241" s="11" t="s">
        <v>692</v>
      </c>
      <c r="G241" s="11" t="s">
        <v>692</v>
      </c>
      <c r="H241" s="11" t="s">
        <v>692</v>
      </c>
      <c r="I241" s="11" t="s">
        <v>692</v>
      </c>
      <c r="J241" s="67">
        <v>40000</v>
      </c>
      <c r="K241" s="67">
        <v>6000</v>
      </c>
      <c r="L241" s="67">
        <v>34000</v>
      </c>
      <c r="M241" s="67">
        <v>34000</v>
      </c>
      <c r="N241" s="67">
        <v>0</v>
      </c>
      <c r="O241" s="65">
        <v>0</v>
      </c>
      <c r="P241" s="84">
        <f t="shared" si="10"/>
        <v>0.85</v>
      </c>
      <c r="Q241" s="73"/>
      <c r="R241" s="73"/>
    </row>
    <row r="242" spans="1:18" customFormat="1" x14ac:dyDescent="0.3">
      <c r="A242" s="18" t="s">
        <v>7</v>
      </c>
      <c r="B242" s="11" t="s">
        <v>164</v>
      </c>
      <c r="C242" s="11">
        <v>636111</v>
      </c>
      <c r="D242" s="11" t="s">
        <v>330</v>
      </c>
      <c r="E242" s="117" t="s">
        <v>331</v>
      </c>
      <c r="F242" s="11" t="s">
        <v>692</v>
      </c>
      <c r="G242" s="11" t="s">
        <v>692</v>
      </c>
      <c r="H242" s="11" t="s">
        <v>692</v>
      </c>
      <c r="I242" s="11" t="s">
        <v>692</v>
      </c>
      <c r="J242" s="67">
        <v>180000</v>
      </c>
      <c r="K242" s="67">
        <v>0</v>
      </c>
      <c r="L242" s="67">
        <v>180000</v>
      </c>
      <c r="M242" s="67">
        <v>153000</v>
      </c>
      <c r="N242" s="67">
        <v>27000</v>
      </c>
      <c r="O242" s="65">
        <v>0</v>
      </c>
      <c r="P242" s="84">
        <f t="shared" si="10"/>
        <v>1</v>
      </c>
      <c r="Q242" s="73"/>
      <c r="R242" s="73"/>
    </row>
    <row r="243" spans="1:18" customFormat="1" x14ac:dyDescent="0.3">
      <c r="A243" s="18" t="s">
        <v>7</v>
      </c>
      <c r="B243" s="11" t="s">
        <v>164</v>
      </c>
      <c r="C243" s="11">
        <v>636111</v>
      </c>
      <c r="D243" s="11" t="s">
        <v>330</v>
      </c>
      <c r="E243" s="117" t="s">
        <v>332</v>
      </c>
      <c r="F243" s="11" t="s">
        <v>692</v>
      </c>
      <c r="G243" s="11" t="s">
        <v>692</v>
      </c>
      <c r="H243" s="11" t="s">
        <v>692</v>
      </c>
      <c r="I243" s="11" t="s">
        <v>692</v>
      </c>
      <c r="J243" s="67">
        <v>455000</v>
      </c>
      <c r="K243" s="67">
        <v>0</v>
      </c>
      <c r="L243" s="67">
        <v>455000</v>
      </c>
      <c r="M243" s="67">
        <v>386750</v>
      </c>
      <c r="N243" s="67">
        <v>68250</v>
      </c>
      <c r="O243" s="65">
        <v>0</v>
      </c>
      <c r="P243" s="84">
        <f t="shared" si="10"/>
        <v>1</v>
      </c>
      <c r="Q243" s="73"/>
      <c r="R243" s="73"/>
    </row>
    <row r="244" spans="1:18" customFormat="1" x14ac:dyDescent="0.3">
      <c r="A244" s="18" t="s">
        <v>7</v>
      </c>
      <c r="B244" s="11" t="s">
        <v>164</v>
      </c>
      <c r="C244" s="11">
        <v>636111</v>
      </c>
      <c r="D244" s="11" t="s">
        <v>330</v>
      </c>
      <c r="E244" s="117" t="s">
        <v>333</v>
      </c>
      <c r="F244" s="11" t="s">
        <v>692</v>
      </c>
      <c r="G244" s="11" t="s">
        <v>692</v>
      </c>
      <c r="H244" s="11" t="s">
        <v>692</v>
      </c>
      <c r="I244" s="11" t="s">
        <v>692</v>
      </c>
      <c r="J244" s="67">
        <v>318500</v>
      </c>
      <c r="K244" s="67">
        <v>0</v>
      </c>
      <c r="L244" s="67">
        <v>318500</v>
      </c>
      <c r="M244" s="67">
        <v>270725</v>
      </c>
      <c r="N244" s="67">
        <v>47775</v>
      </c>
      <c r="O244" s="65">
        <v>0</v>
      </c>
      <c r="P244" s="84">
        <f t="shared" si="10"/>
        <v>1</v>
      </c>
      <c r="Q244" s="73"/>
      <c r="R244" s="73"/>
    </row>
    <row r="245" spans="1:18" customFormat="1" x14ac:dyDescent="0.3">
      <c r="A245" s="18" t="s">
        <v>7</v>
      </c>
      <c r="B245" s="11" t="s">
        <v>164</v>
      </c>
      <c r="C245" s="11">
        <v>636111</v>
      </c>
      <c r="D245" s="11" t="s">
        <v>330</v>
      </c>
      <c r="E245" s="117" t="s">
        <v>334</v>
      </c>
      <c r="F245" s="11" t="s">
        <v>692</v>
      </c>
      <c r="G245" s="11" t="s">
        <v>692</v>
      </c>
      <c r="H245" s="11" t="s">
        <v>692</v>
      </c>
      <c r="I245" s="11" t="s">
        <v>692</v>
      </c>
      <c r="J245" s="67">
        <v>533000</v>
      </c>
      <c r="K245" s="67">
        <v>0</v>
      </c>
      <c r="L245" s="67">
        <v>533000</v>
      </c>
      <c r="M245" s="67">
        <v>453050</v>
      </c>
      <c r="N245" s="67">
        <v>79950</v>
      </c>
      <c r="O245" s="65">
        <v>0</v>
      </c>
      <c r="P245" s="84">
        <f t="shared" si="10"/>
        <v>1</v>
      </c>
      <c r="Q245" s="73"/>
      <c r="R245" s="73"/>
    </row>
    <row r="246" spans="1:18" customFormat="1" x14ac:dyDescent="0.3">
      <c r="A246" s="18" t="s">
        <v>7</v>
      </c>
      <c r="B246" s="11" t="s">
        <v>164</v>
      </c>
      <c r="C246" s="11">
        <v>636111</v>
      </c>
      <c r="D246" s="11" t="s">
        <v>330</v>
      </c>
      <c r="E246" s="117" t="s">
        <v>335</v>
      </c>
      <c r="F246" s="11" t="s">
        <v>692</v>
      </c>
      <c r="G246" s="11" t="s">
        <v>692</v>
      </c>
      <c r="H246" s="11" t="s">
        <v>692</v>
      </c>
      <c r="I246" s="11" t="s">
        <v>692</v>
      </c>
      <c r="J246" s="67">
        <v>191000</v>
      </c>
      <c r="K246" s="67">
        <v>0</v>
      </c>
      <c r="L246" s="67">
        <v>191000</v>
      </c>
      <c r="M246" s="67">
        <v>162350</v>
      </c>
      <c r="N246" s="67">
        <v>28650</v>
      </c>
      <c r="O246" s="65">
        <v>0</v>
      </c>
      <c r="P246" s="84">
        <f t="shared" si="10"/>
        <v>1</v>
      </c>
      <c r="Q246" s="73"/>
      <c r="R246" s="73"/>
    </row>
    <row r="247" spans="1:18" customFormat="1" x14ac:dyDescent="0.3">
      <c r="A247" s="18" t="s">
        <v>7</v>
      </c>
      <c r="B247" s="11" t="s">
        <v>164</v>
      </c>
      <c r="C247" s="11">
        <v>636111</v>
      </c>
      <c r="D247" s="11" t="s">
        <v>330</v>
      </c>
      <c r="E247" s="117" t="s">
        <v>336</v>
      </c>
      <c r="F247" s="11" t="s">
        <v>692</v>
      </c>
      <c r="G247" s="11" t="s">
        <v>692</v>
      </c>
      <c r="H247" s="11" t="s">
        <v>692</v>
      </c>
      <c r="I247" s="11" t="s">
        <v>692</v>
      </c>
      <c r="J247" s="67">
        <v>292500</v>
      </c>
      <c r="K247" s="67">
        <v>0</v>
      </c>
      <c r="L247" s="67">
        <v>292500</v>
      </c>
      <c r="M247" s="67">
        <v>248625</v>
      </c>
      <c r="N247" s="67">
        <v>43875</v>
      </c>
      <c r="O247" s="65">
        <v>0</v>
      </c>
      <c r="P247" s="84">
        <f t="shared" si="10"/>
        <v>1</v>
      </c>
      <c r="Q247" s="73"/>
      <c r="R247" s="73"/>
    </row>
    <row r="248" spans="1:18" customFormat="1" x14ac:dyDescent="0.3">
      <c r="A248" s="18" t="s">
        <v>7</v>
      </c>
      <c r="B248" s="11" t="s">
        <v>164</v>
      </c>
      <c r="C248" s="11">
        <v>636111</v>
      </c>
      <c r="D248" s="11" t="s">
        <v>330</v>
      </c>
      <c r="E248" s="117" t="s">
        <v>337</v>
      </c>
      <c r="F248" s="11" t="s">
        <v>692</v>
      </c>
      <c r="G248" s="11" t="s">
        <v>692</v>
      </c>
      <c r="H248" s="11" t="s">
        <v>692</v>
      </c>
      <c r="I248" s="11" t="s">
        <v>692</v>
      </c>
      <c r="J248" s="67">
        <v>30000</v>
      </c>
      <c r="K248" s="67">
        <v>0</v>
      </c>
      <c r="L248" s="67">
        <v>30000</v>
      </c>
      <c r="M248" s="67">
        <v>25500</v>
      </c>
      <c r="N248" s="67">
        <v>4500</v>
      </c>
      <c r="O248" s="65">
        <v>0</v>
      </c>
      <c r="P248" s="84">
        <f t="shared" si="10"/>
        <v>1</v>
      </c>
      <c r="Q248" s="73"/>
      <c r="R248" s="73"/>
    </row>
    <row r="249" spans="1:18" customFormat="1" x14ac:dyDescent="0.3">
      <c r="A249" s="18" t="s">
        <v>7</v>
      </c>
      <c r="B249" s="11" t="s">
        <v>164</v>
      </c>
      <c r="C249" s="11">
        <v>607417</v>
      </c>
      <c r="D249" s="11" t="s">
        <v>338</v>
      </c>
      <c r="E249" s="117" t="s">
        <v>339</v>
      </c>
      <c r="F249" s="11" t="s">
        <v>692</v>
      </c>
      <c r="G249" s="11" t="s">
        <v>692</v>
      </c>
      <c r="H249" s="11" t="s">
        <v>692</v>
      </c>
      <c r="I249" s="11" t="s">
        <v>692</v>
      </c>
      <c r="J249" s="67">
        <v>596857.5</v>
      </c>
      <c r="K249" s="67">
        <v>0</v>
      </c>
      <c r="L249" s="67">
        <v>596857.5</v>
      </c>
      <c r="M249" s="67">
        <v>507328.88</v>
      </c>
      <c r="N249" s="67">
        <f>L249-M249</f>
        <v>89528.62</v>
      </c>
      <c r="O249" s="65">
        <v>0</v>
      </c>
      <c r="P249" s="84">
        <f t="shared" si="10"/>
        <v>1</v>
      </c>
      <c r="Q249" s="73"/>
      <c r="R249" s="73"/>
    </row>
    <row r="250" spans="1:18" customFormat="1" x14ac:dyDescent="0.3">
      <c r="A250" s="18" t="s">
        <v>7</v>
      </c>
      <c r="B250" s="11" t="s">
        <v>164</v>
      </c>
      <c r="C250" s="11">
        <v>607417</v>
      </c>
      <c r="D250" s="11" t="s">
        <v>338</v>
      </c>
      <c r="E250" s="117" t="s">
        <v>340</v>
      </c>
      <c r="F250" s="11" t="s">
        <v>692</v>
      </c>
      <c r="G250" s="11" t="s">
        <v>692</v>
      </c>
      <c r="H250" s="11" t="s">
        <v>692</v>
      </c>
      <c r="I250" s="11" t="s">
        <v>692</v>
      </c>
      <c r="J250" s="67">
        <v>41820</v>
      </c>
      <c r="K250" s="67">
        <v>0</v>
      </c>
      <c r="L250" s="67">
        <v>41820</v>
      </c>
      <c r="M250" s="67">
        <v>35547</v>
      </c>
      <c r="N250" s="67">
        <v>6273</v>
      </c>
      <c r="O250" s="65">
        <v>0</v>
      </c>
      <c r="P250" s="84">
        <f t="shared" si="10"/>
        <v>1</v>
      </c>
      <c r="Q250" s="73"/>
      <c r="R250" s="73"/>
    </row>
    <row r="251" spans="1:18" customFormat="1" x14ac:dyDescent="0.3">
      <c r="A251" s="18" t="s">
        <v>7</v>
      </c>
      <c r="B251" s="11" t="s">
        <v>164</v>
      </c>
      <c r="C251" s="11">
        <v>607417</v>
      </c>
      <c r="D251" s="11" t="s">
        <v>338</v>
      </c>
      <c r="E251" s="117" t="s">
        <v>341</v>
      </c>
      <c r="F251" s="11" t="s">
        <v>692</v>
      </c>
      <c r="G251" s="11" t="s">
        <v>692</v>
      </c>
      <c r="H251" s="11" t="s">
        <v>692</v>
      </c>
      <c r="I251" s="11" t="s">
        <v>692</v>
      </c>
      <c r="J251" s="67">
        <v>44280</v>
      </c>
      <c r="K251" s="67">
        <v>0</v>
      </c>
      <c r="L251" s="67">
        <v>44280</v>
      </c>
      <c r="M251" s="67">
        <v>37638</v>
      </c>
      <c r="N251" s="67">
        <v>6642</v>
      </c>
      <c r="O251" s="65">
        <v>0</v>
      </c>
      <c r="P251" s="84">
        <f t="shared" si="10"/>
        <v>1</v>
      </c>
      <c r="Q251" s="73"/>
      <c r="R251" s="73"/>
    </row>
    <row r="252" spans="1:18" customFormat="1" x14ac:dyDescent="0.3">
      <c r="A252" s="18" t="s">
        <v>7</v>
      </c>
      <c r="B252" s="11" t="s">
        <v>164</v>
      </c>
      <c r="C252" s="11">
        <v>607417</v>
      </c>
      <c r="D252" s="11" t="s">
        <v>338</v>
      </c>
      <c r="E252" s="117" t="s">
        <v>342</v>
      </c>
      <c r="F252" s="11" t="s">
        <v>692</v>
      </c>
      <c r="G252" s="11" t="s">
        <v>692</v>
      </c>
      <c r="H252" s="11" t="s">
        <v>692</v>
      </c>
      <c r="I252" s="11" t="s">
        <v>692</v>
      </c>
      <c r="J252" s="67">
        <v>521712.53</v>
      </c>
      <c r="K252" s="67">
        <v>0</v>
      </c>
      <c r="L252" s="67">
        <v>521712.53</v>
      </c>
      <c r="M252" s="67">
        <v>443455.65049999999</v>
      </c>
      <c r="N252" s="67">
        <v>78256.879500000039</v>
      </c>
      <c r="O252" s="65">
        <v>0</v>
      </c>
      <c r="P252" s="84">
        <f t="shared" si="10"/>
        <v>1</v>
      </c>
      <c r="Q252" s="73"/>
      <c r="R252" s="73"/>
    </row>
    <row r="253" spans="1:18" customFormat="1" x14ac:dyDescent="0.3">
      <c r="A253" s="18" t="s">
        <v>7</v>
      </c>
      <c r="B253" s="11" t="s">
        <v>164</v>
      </c>
      <c r="C253" s="11">
        <v>607417</v>
      </c>
      <c r="D253" s="11" t="s">
        <v>338</v>
      </c>
      <c r="E253" s="117" t="s">
        <v>343</v>
      </c>
      <c r="F253" s="11" t="s">
        <v>692</v>
      </c>
      <c r="G253" s="11">
        <v>3286</v>
      </c>
      <c r="H253" s="11">
        <v>1471133</v>
      </c>
      <c r="I253" s="11" t="s">
        <v>692</v>
      </c>
      <c r="J253" s="67">
        <v>30036.6</v>
      </c>
      <c r="K253" s="67">
        <v>4505.49</v>
      </c>
      <c r="L253" s="67">
        <v>25531.11</v>
      </c>
      <c r="M253" s="67">
        <v>25531.11</v>
      </c>
      <c r="N253" s="67">
        <v>0</v>
      </c>
      <c r="O253" s="65">
        <v>0</v>
      </c>
      <c r="P253" s="84">
        <f t="shared" si="10"/>
        <v>0.85000000000000009</v>
      </c>
      <c r="Q253" s="73"/>
      <c r="R253" s="73"/>
    </row>
    <row r="254" spans="1:18" customFormat="1" x14ac:dyDescent="0.3">
      <c r="A254" s="18" t="s">
        <v>7</v>
      </c>
      <c r="B254" s="11" t="s">
        <v>164</v>
      </c>
      <c r="C254" s="11">
        <v>607417</v>
      </c>
      <c r="D254" s="11" t="s">
        <v>338</v>
      </c>
      <c r="E254" s="117" t="s">
        <v>344</v>
      </c>
      <c r="F254" s="11" t="s">
        <v>692</v>
      </c>
      <c r="G254" s="11">
        <v>3286</v>
      </c>
      <c r="H254" s="11">
        <v>1473060</v>
      </c>
      <c r="I254" s="11" t="s">
        <v>692</v>
      </c>
      <c r="J254" s="67">
        <v>12300</v>
      </c>
      <c r="K254" s="67">
        <v>1845</v>
      </c>
      <c r="L254" s="67">
        <v>10455</v>
      </c>
      <c r="M254" s="67">
        <v>10455</v>
      </c>
      <c r="N254" s="67">
        <v>0</v>
      </c>
      <c r="O254" s="65">
        <v>0</v>
      </c>
      <c r="P254" s="84">
        <f t="shared" si="10"/>
        <v>0.85</v>
      </c>
      <c r="Q254" s="73"/>
      <c r="R254" s="73"/>
    </row>
    <row r="255" spans="1:18" customFormat="1" ht="59.1" x14ac:dyDescent="0.3">
      <c r="A255" s="18" t="s">
        <v>7</v>
      </c>
      <c r="B255" s="11" t="s">
        <v>164</v>
      </c>
      <c r="C255" s="11">
        <v>607417</v>
      </c>
      <c r="D255" s="11" t="s">
        <v>338</v>
      </c>
      <c r="E255" s="117" t="s">
        <v>345</v>
      </c>
      <c r="F255" s="11" t="s">
        <v>692</v>
      </c>
      <c r="G255" s="11">
        <v>3286</v>
      </c>
      <c r="H255" s="11">
        <v>1471047</v>
      </c>
      <c r="I255" s="11">
        <v>964187</v>
      </c>
      <c r="J255" s="67">
        <v>12639.43</v>
      </c>
      <c r="K255" s="67">
        <v>1895.91</v>
      </c>
      <c r="L255" s="67">
        <v>10743.52</v>
      </c>
      <c r="M255" s="67">
        <v>10743.52</v>
      </c>
      <c r="N255" s="67">
        <v>0</v>
      </c>
      <c r="O255" s="65">
        <v>0</v>
      </c>
      <c r="P255" s="84">
        <f t="shared" si="10"/>
        <v>0.85000035602871338</v>
      </c>
      <c r="Q255" s="73"/>
      <c r="R255" s="73"/>
    </row>
    <row r="256" spans="1:18" customFormat="1" x14ac:dyDescent="0.3">
      <c r="A256" s="18" t="s">
        <v>7</v>
      </c>
      <c r="B256" s="11" t="s">
        <v>164</v>
      </c>
      <c r="C256" s="11">
        <v>491974</v>
      </c>
      <c r="D256" s="11" t="s">
        <v>346</v>
      </c>
      <c r="E256" s="117" t="s">
        <v>347</v>
      </c>
      <c r="F256" s="11" t="s">
        <v>692</v>
      </c>
      <c r="G256" s="11" t="s">
        <v>692</v>
      </c>
      <c r="H256" s="11" t="s">
        <v>692</v>
      </c>
      <c r="I256" s="11" t="s">
        <v>692</v>
      </c>
      <c r="J256" s="67">
        <f>225400+848.87</f>
        <v>226248.87</v>
      </c>
      <c r="K256" s="67">
        <f>J256-L256</f>
        <v>33937.31</v>
      </c>
      <c r="L256" s="67">
        <f>191590+721.56</f>
        <v>192311.56</v>
      </c>
      <c r="M256" s="67">
        <f>L256</f>
        <v>192311.56</v>
      </c>
      <c r="N256" s="67">
        <v>0</v>
      </c>
      <c r="O256" s="65">
        <v>0</v>
      </c>
      <c r="P256" s="84">
        <f t="shared" si="10"/>
        <v>0.85000009060818738</v>
      </c>
      <c r="Q256" s="73"/>
      <c r="R256" s="73"/>
    </row>
    <row r="257" spans="1:18" customFormat="1" x14ac:dyDescent="0.3">
      <c r="A257" s="18" t="s">
        <v>7</v>
      </c>
      <c r="B257" s="11" t="s">
        <v>164</v>
      </c>
      <c r="C257" s="11">
        <v>491974</v>
      </c>
      <c r="D257" s="11" t="s">
        <v>346</v>
      </c>
      <c r="E257" s="117" t="s">
        <v>348</v>
      </c>
      <c r="F257" s="11" t="s">
        <v>692</v>
      </c>
      <c r="G257" s="11" t="s">
        <v>692</v>
      </c>
      <c r="H257" s="11" t="s">
        <v>692</v>
      </c>
      <c r="I257" s="11" t="s">
        <v>692</v>
      </c>
      <c r="J257" s="67">
        <f>196300-848.87</f>
        <v>195451.13</v>
      </c>
      <c r="K257" s="67">
        <f>J257-L257</f>
        <v>29317.690000000002</v>
      </c>
      <c r="L257" s="67">
        <f>166855-721.56</f>
        <v>166133.44</v>
      </c>
      <c r="M257" s="67">
        <f>L257</f>
        <v>166133.44</v>
      </c>
      <c r="N257" s="67">
        <v>0</v>
      </c>
      <c r="O257" s="65">
        <v>0</v>
      </c>
      <c r="P257" s="84">
        <f t="shared" si="10"/>
        <v>0.84999989511444629</v>
      </c>
      <c r="Q257" s="73"/>
      <c r="R257" s="73"/>
    </row>
    <row r="258" spans="1:18" customFormat="1" x14ac:dyDescent="0.3">
      <c r="A258" s="18" t="s">
        <v>7</v>
      </c>
      <c r="B258" s="11" t="s">
        <v>164</v>
      </c>
      <c r="C258" s="11">
        <v>591774</v>
      </c>
      <c r="D258" s="11" t="s">
        <v>349</v>
      </c>
      <c r="E258" s="117" t="s">
        <v>350</v>
      </c>
      <c r="F258" s="11" t="s">
        <v>692</v>
      </c>
      <c r="G258" s="11" t="s">
        <v>692</v>
      </c>
      <c r="H258" s="11" t="s">
        <v>692</v>
      </c>
      <c r="I258" s="11" t="s">
        <v>692</v>
      </c>
      <c r="J258" s="67">
        <v>584680.5</v>
      </c>
      <c r="K258" s="67">
        <v>0</v>
      </c>
      <c r="L258" s="67">
        <v>584680.5</v>
      </c>
      <c r="M258" s="67">
        <v>496978.43</v>
      </c>
      <c r="N258" s="67">
        <f>L258-M258</f>
        <v>87702.07</v>
      </c>
      <c r="O258" s="65">
        <v>0</v>
      </c>
      <c r="P258" s="84">
        <f t="shared" si="10"/>
        <v>1</v>
      </c>
      <c r="Q258" s="73"/>
      <c r="R258" s="73"/>
    </row>
    <row r="259" spans="1:18" customFormat="1" ht="29.55" x14ac:dyDescent="0.3">
      <c r="A259" s="18" t="s">
        <v>7</v>
      </c>
      <c r="B259" s="11" t="s">
        <v>164</v>
      </c>
      <c r="C259" s="11">
        <v>591774</v>
      </c>
      <c r="D259" s="11" t="s">
        <v>349</v>
      </c>
      <c r="E259" s="117" t="s">
        <v>351</v>
      </c>
      <c r="F259" s="11" t="s">
        <v>692</v>
      </c>
      <c r="G259" s="11" t="s">
        <v>692</v>
      </c>
      <c r="H259" s="11" t="s">
        <v>692</v>
      </c>
      <c r="I259" s="11" t="s">
        <v>692</v>
      </c>
      <c r="J259" s="67">
        <v>319800</v>
      </c>
      <c r="K259" s="67">
        <v>47970</v>
      </c>
      <c r="L259" s="67">
        <v>271830</v>
      </c>
      <c r="M259" s="67">
        <v>271830</v>
      </c>
      <c r="N259" s="67">
        <v>0</v>
      </c>
      <c r="O259" s="65">
        <v>0</v>
      </c>
      <c r="P259" s="84">
        <f t="shared" ref="P259:P322" si="12">L259/J259</f>
        <v>0.85</v>
      </c>
      <c r="Q259" s="73"/>
      <c r="R259" s="73"/>
    </row>
    <row r="260" spans="1:18" customFormat="1" x14ac:dyDescent="0.3">
      <c r="A260" s="18" t="s">
        <v>7</v>
      </c>
      <c r="B260" s="11" t="s">
        <v>164</v>
      </c>
      <c r="C260" s="11">
        <v>591774</v>
      </c>
      <c r="D260" s="11" t="s">
        <v>349</v>
      </c>
      <c r="E260" s="117" t="s">
        <v>352</v>
      </c>
      <c r="F260" s="11" t="s">
        <v>692</v>
      </c>
      <c r="G260" s="11" t="s">
        <v>692</v>
      </c>
      <c r="H260" s="11" t="s">
        <v>692</v>
      </c>
      <c r="I260" s="11" t="s">
        <v>692</v>
      </c>
      <c r="J260" s="67">
        <v>122000</v>
      </c>
      <c r="K260" s="67">
        <v>18300</v>
      </c>
      <c r="L260" s="67">
        <v>103700</v>
      </c>
      <c r="M260" s="67">
        <v>103700</v>
      </c>
      <c r="N260" s="67">
        <v>0</v>
      </c>
      <c r="O260" s="65">
        <v>0</v>
      </c>
      <c r="P260" s="84">
        <f t="shared" si="12"/>
        <v>0.85</v>
      </c>
      <c r="Q260" s="73"/>
      <c r="R260" s="73"/>
    </row>
    <row r="261" spans="1:18" customFormat="1" ht="29.55" x14ac:dyDescent="0.3">
      <c r="A261" s="18" t="s">
        <v>7</v>
      </c>
      <c r="B261" s="11" t="s">
        <v>164</v>
      </c>
      <c r="C261" s="11">
        <v>591774</v>
      </c>
      <c r="D261" s="11" t="s">
        <v>349</v>
      </c>
      <c r="E261" s="117" t="s">
        <v>353</v>
      </c>
      <c r="F261" s="11" t="s">
        <v>692</v>
      </c>
      <c r="G261" s="11" t="s">
        <v>692</v>
      </c>
      <c r="H261" s="11" t="s">
        <v>692</v>
      </c>
      <c r="I261" s="11" t="s">
        <v>692</v>
      </c>
      <c r="J261" s="67">
        <v>120000</v>
      </c>
      <c r="K261" s="67">
        <v>18000</v>
      </c>
      <c r="L261" s="67">
        <v>102000</v>
      </c>
      <c r="M261" s="67">
        <v>102000</v>
      </c>
      <c r="N261" s="67">
        <v>0</v>
      </c>
      <c r="O261" s="65">
        <v>0</v>
      </c>
      <c r="P261" s="84">
        <f t="shared" si="12"/>
        <v>0.85</v>
      </c>
      <c r="Q261" s="73"/>
      <c r="R261" s="73"/>
    </row>
    <row r="262" spans="1:18" customFormat="1" x14ac:dyDescent="0.3">
      <c r="A262" s="18" t="s">
        <v>7</v>
      </c>
      <c r="B262" s="11" t="s">
        <v>164</v>
      </c>
      <c r="C262" s="11">
        <v>591774</v>
      </c>
      <c r="D262" s="11" t="s">
        <v>349</v>
      </c>
      <c r="E262" s="117" t="s">
        <v>354</v>
      </c>
      <c r="F262" s="11" t="s">
        <v>692</v>
      </c>
      <c r="G262" s="11">
        <v>3286</v>
      </c>
      <c r="H262" s="11">
        <v>1466511</v>
      </c>
      <c r="I262" s="11" t="s">
        <v>692</v>
      </c>
      <c r="J262" s="67">
        <v>135000</v>
      </c>
      <c r="K262" s="67">
        <v>20250</v>
      </c>
      <c r="L262" s="67">
        <v>114750</v>
      </c>
      <c r="M262" s="67">
        <v>114750</v>
      </c>
      <c r="N262" s="67">
        <v>0</v>
      </c>
      <c r="O262" s="65">
        <v>0</v>
      </c>
      <c r="P262" s="84">
        <f t="shared" si="12"/>
        <v>0.85</v>
      </c>
      <c r="Q262" s="73"/>
      <c r="R262" s="73"/>
    </row>
    <row r="263" spans="1:18" customFormat="1" x14ac:dyDescent="0.3">
      <c r="A263" s="18" t="s">
        <v>7</v>
      </c>
      <c r="B263" s="11" t="s">
        <v>164</v>
      </c>
      <c r="C263" s="11">
        <v>591774</v>
      </c>
      <c r="D263" s="11" t="s">
        <v>349</v>
      </c>
      <c r="E263" s="117" t="s">
        <v>355</v>
      </c>
      <c r="F263" s="11" t="s">
        <v>692</v>
      </c>
      <c r="G263" s="11" t="s">
        <v>692</v>
      </c>
      <c r="H263" s="11" t="s">
        <v>692</v>
      </c>
      <c r="I263" s="11" t="s">
        <v>692</v>
      </c>
      <c r="J263" s="67">
        <v>130319.73</v>
      </c>
      <c r="K263" s="67">
        <v>0</v>
      </c>
      <c r="L263" s="67">
        <v>130319.73</v>
      </c>
      <c r="M263" s="67">
        <v>110771.7705</v>
      </c>
      <c r="N263" s="67">
        <v>19547.959499999997</v>
      </c>
      <c r="O263" s="65">
        <v>0</v>
      </c>
      <c r="P263" s="84">
        <f t="shared" si="12"/>
        <v>1</v>
      </c>
      <c r="Q263" s="73"/>
      <c r="R263" s="73"/>
    </row>
    <row r="264" spans="1:18" customFormat="1" x14ac:dyDescent="0.3">
      <c r="A264" s="18" t="s">
        <v>7</v>
      </c>
      <c r="B264" s="11" t="s">
        <v>164</v>
      </c>
      <c r="C264" s="11">
        <v>591774</v>
      </c>
      <c r="D264" s="11" t="s">
        <v>349</v>
      </c>
      <c r="E264" s="117" t="s">
        <v>356</v>
      </c>
      <c r="F264" s="18" t="s">
        <v>692</v>
      </c>
      <c r="G264" s="18" t="s">
        <v>692</v>
      </c>
      <c r="H264" s="18" t="s">
        <v>692</v>
      </c>
      <c r="I264" s="18" t="s">
        <v>692</v>
      </c>
      <c r="J264" s="67">
        <v>190000</v>
      </c>
      <c r="K264" s="67">
        <v>0</v>
      </c>
      <c r="L264" s="67">
        <v>190000</v>
      </c>
      <c r="M264" s="67">
        <v>161500</v>
      </c>
      <c r="N264" s="67">
        <v>28500</v>
      </c>
      <c r="O264" s="65">
        <v>0</v>
      </c>
      <c r="P264" s="84">
        <f t="shared" si="12"/>
        <v>1</v>
      </c>
      <c r="Q264" s="73"/>
      <c r="R264" s="73"/>
    </row>
    <row r="265" spans="1:18" customFormat="1" x14ac:dyDescent="0.3">
      <c r="A265" s="18" t="s">
        <v>7</v>
      </c>
      <c r="B265" s="18" t="s">
        <v>414</v>
      </c>
      <c r="C265" s="18">
        <v>638359</v>
      </c>
      <c r="D265" s="18" t="s">
        <v>415</v>
      </c>
      <c r="E265" s="131" t="s">
        <v>416</v>
      </c>
      <c r="F265" s="18" t="s">
        <v>692</v>
      </c>
      <c r="G265" s="18" t="s">
        <v>692</v>
      </c>
      <c r="H265" s="18" t="s">
        <v>692</v>
      </c>
      <c r="I265" s="18" t="s">
        <v>692</v>
      </c>
      <c r="J265" s="82">
        <v>1372600</v>
      </c>
      <c r="K265" s="82">
        <v>0</v>
      </c>
      <c r="L265" s="85">
        <v>1372600</v>
      </c>
      <c r="M265" s="67">
        <v>1166710</v>
      </c>
      <c r="N265" s="67">
        <v>205890</v>
      </c>
      <c r="O265" s="65">
        <v>0</v>
      </c>
      <c r="P265" s="84">
        <f t="shared" si="12"/>
        <v>1</v>
      </c>
      <c r="Q265" s="73"/>
      <c r="R265" s="73"/>
    </row>
    <row r="266" spans="1:18" customFormat="1" x14ac:dyDescent="0.3">
      <c r="A266" s="18" t="s">
        <v>7</v>
      </c>
      <c r="B266" s="18" t="s">
        <v>414</v>
      </c>
      <c r="C266" s="18">
        <v>638359</v>
      </c>
      <c r="D266" s="18" t="s">
        <v>415</v>
      </c>
      <c r="E266" s="131" t="s">
        <v>417</v>
      </c>
      <c r="F266" s="18" t="s">
        <v>692</v>
      </c>
      <c r="G266" s="18" t="s">
        <v>692</v>
      </c>
      <c r="H266" s="18" t="s">
        <v>692</v>
      </c>
      <c r="I266" s="18" t="s">
        <v>692</v>
      </c>
      <c r="J266" s="82">
        <v>90000</v>
      </c>
      <c r="K266" s="82">
        <v>0</v>
      </c>
      <c r="L266" s="82">
        <v>90000</v>
      </c>
      <c r="M266" s="67">
        <v>76500</v>
      </c>
      <c r="N266" s="67">
        <v>13500</v>
      </c>
      <c r="O266" s="65">
        <v>0</v>
      </c>
      <c r="P266" s="84">
        <f t="shared" si="12"/>
        <v>1</v>
      </c>
      <c r="Q266" s="73"/>
      <c r="R266" s="73"/>
    </row>
    <row r="267" spans="1:18" customFormat="1" x14ac:dyDescent="0.3">
      <c r="A267" s="18" t="s">
        <v>7</v>
      </c>
      <c r="B267" s="18" t="s">
        <v>414</v>
      </c>
      <c r="C267" s="18">
        <v>638359</v>
      </c>
      <c r="D267" s="18" t="s">
        <v>415</v>
      </c>
      <c r="E267" s="131" t="s">
        <v>418</v>
      </c>
      <c r="F267" s="18" t="s">
        <v>692</v>
      </c>
      <c r="G267" s="18" t="s">
        <v>692</v>
      </c>
      <c r="H267" s="18" t="s">
        <v>692</v>
      </c>
      <c r="I267" s="18" t="s">
        <v>692</v>
      </c>
      <c r="J267" s="82">
        <v>866846.02</v>
      </c>
      <c r="K267" s="82">
        <v>0</v>
      </c>
      <c r="L267" s="82">
        <v>866846.02</v>
      </c>
      <c r="M267" s="67">
        <v>736819.11699999997</v>
      </c>
      <c r="N267" s="67">
        <v>130026.90300000005</v>
      </c>
      <c r="O267" s="65">
        <v>0</v>
      </c>
      <c r="P267" s="84">
        <f t="shared" si="12"/>
        <v>1</v>
      </c>
      <c r="Q267" s="73"/>
      <c r="R267" s="73"/>
    </row>
    <row r="268" spans="1:18" customFormat="1" x14ac:dyDescent="0.3">
      <c r="A268" s="18" t="s">
        <v>7</v>
      </c>
      <c r="B268" s="18" t="s">
        <v>414</v>
      </c>
      <c r="C268" s="18">
        <v>638359</v>
      </c>
      <c r="D268" s="18" t="s">
        <v>415</v>
      </c>
      <c r="E268" s="131" t="s">
        <v>419</v>
      </c>
      <c r="F268" s="18" t="s">
        <v>692</v>
      </c>
      <c r="G268" s="18" t="s">
        <v>692</v>
      </c>
      <c r="H268" s="18" t="s">
        <v>692</v>
      </c>
      <c r="I268" s="18" t="s">
        <v>692</v>
      </c>
      <c r="J268" s="82">
        <v>5000</v>
      </c>
      <c r="K268" s="82">
        <v>0</v>
      </c>
      <c r="L268" s="82">
        <v>5000</v>
      </c>
      <c r="M268" s="67">
        <v>4250</v>
      </c>
      <c r="N268" s="67">
        <v>750</v>
      </c>
      <c r="O268" s="65">
        <v>0</v>
      </c>
      <c r="P268" s="84">
        <f t="shared" si="12"/>
        <v>1</v>
      </c>
      <c r="Q268" s="73"/>
      <c r="R268" s="73"/>
    </row>
    <row r="269" spans="1:18" customFormat="1" x14ac:dyDescent="0.3">
      <c r="A269" s="18" t="s">
        <v>421</v>
      </c>
      <c r="B269" s="18" t="s">
        <v>414</v>
      </c>
      <c r="C269" s="18">
        <v>1524918</v>
      </c>
      <c r="D269" s="18" t="s">
        <v>420</v>
      </c>
      <c r="E269" s="131" t="s">
        <v>422</v>
      </c>
      <c r="F269" s="18" t="s">
        <v>692</v>
      </c>
      <c r="G269" s="18" t="s">
        <v>692</v>
      </c>
      <c r="H269" s="18" t="s">
        <v>692</v>
      </c>
      <c r="I269" s="18" t="s">
        <v>692</v>
      </c>
      <c r="J269" s="82">
        <v>80000</v>
      </c>
      <c r="K269" s="82">
        <v>0</v>
      </c>
      <c r="L269" s="82">
        <v>80000</v>
      </c>
      <c r="M269" s="67">
        <v>68000</v>
      </c>
      <c r="N269" s="67">
        <f>12000-O269</f>
        <v>7500</v>
      </c>
      <c r="O269" s="65">
        <v>4500</v>
      </c>
      <c r="P269" s="84">
        <f t="shared" si="12"/>
        <v>1</v>
      </c>
      <c r="Q269" s="73"/>
      <c r="R269" s="73"/>
    </row>
    <row r="270" spans="1:18" customFormat="1" x14ac:dyDescent="0.3">
      <c r="A270" s="18" t="s">
        <v>421</v>
      </c>
      <c r="B270" s="18" t="s">
        <v>414</v>
      </c>
      <c r="C270" s="18">
        <v>1524918</v>
      </c>
      <c r="D270" s="18" t="s">
        <v>420</v>
      </c>
      <c r="E270" s="131" t="s">
        <v>423</v>
      </c>
      <c r="F270" s="18" t="s">
        <v>692</v>
      </c>
      <c r="G270" s="18" t="s">
        <v>692</v>
      </c>
      <c r="H270" s="18" t="s">
        <v>692</v>
      </c>
      <c r="I270" s="18" t="s">
        <v>692</v>
      </c>
      <c r="J270" s="82">
        <v>670970.01</v>
      </c>
      <c r="K270" s="82">
        <v>0</v>
      </c>
      <c r="L270" s="82">
        <v>670970.01</v>
      </c>
      <c r="M270" s="67">
        <v>570324.5085</v>
      </c>
      <c r="N270" s="67">
        <v>100645.50150000001</v>
      </c>
      <c r="O270" s="65">
        <v>0</v>
      </c>
      <c r="P270" s="84">
        <f t="shared" si="12"/>
        <v>1</v>
      </c>
      <c r="Q270" s="73"/>
      <c r="R270" s="73"/>
    </row>
    <row r="271" spans="1:18" customFormat="1" ht="29.55" x14ac:dyDescent="0.3">
      <c r="A271" s="18" t="s">
        <v>421</v>
      </c>
      <c r="B271" s="18" t="s">
        <v>414</v>
      </c>
      <c r="C271" s="18">
        <v>1524918</v>
      </c>
      <c r="D271" s="18" t="s">
        <v>420</v>
      </c>
      <c r="E271" s="131" t="s">
        <v>424</v>
      </c>
      <c r="F271" s="49" t="s">
        <v>692</v>
      </c>
      <c r="G271" s="49" t="s">
        <v>692</v>
      </c>
      <c r="H271" s="49" t="s">
        <v>692</v>
      </c>
      <c r="I271" s="49" t="s">
        <v>692</v>
      </c>
      <c r="J271" s="82">
        <v>50000</v>
      </c>
      <c r="K271" s="82">
        <v>0</v>
      </c>
      <c r="L271" s="82">
        <v>50000</v>
      </c>
      <c r="M271" s="67">
        <v>42500</v>
      </c>
      <c r="N271" s="67">
        <v>7500</v>
      </c>
      <c r="O271" s="65">
        <v>0</v>
      </c>
      <c r="P271" s="84">
        <f t="shared" si="12"/>
        <v>1</v>
      </c>
      <c r="Q271" s="73"/>
      <c r="R271" s="73"/>
    </row>
    <row r="272" spans="1:18" customFormat="1" x14ac:dyDescent="0.3">
      <c r="A272" s="18" t="s">
        <v>421</v>
      </c>
      <c r="B272" s="18" t="s">
        <v>414</v>
      </c>
      <c r="C272" s="18">
        <v>1524918</v>
      </c>
      <c r="D272" s="18" t="s">
        <v>420</v>
      </c>
      <c r="E272" s="118" t="s">
        <v>425</v>
      </c>
      <c r="F272" s="49" t="s">
        <v>692</v>
      </c>
      <c r="G272" s="49" t="s">
        <v>692</v>
      </c>
      <c r="H272" s="49" t="s">
        <v>692</v>
      </c>
      <c r="I272" s="49" t="s">
        <v>692</v>
      </c>
      <c r="J272" s="82">
        <v>375500</v>
      </c>
      <c r="K272" s="82">
        <v>0</v>
      </c>
      <c r="L272" s="82">
        <v>375500</v>
      </c>
      <c r="M272" s="67">
        <v>319175</v>
      </c>
      <c r="N272" s="67">
        <v>56325</v>
      </c>
      <c r="O272" s="65">
        <v>0</v>
      </c>
      <c r="P272" s="84">
        <f t="shared" si="12"/>
        <v>1</v>
      </c>
      <c r="Q272" s="73"/>
      <c r="R272" s="73"/>
    </row>
    <row r="273" spans="1:18" customFormat="1" ht="44.35" x14ac:dyDescent="0.3">
      <c r="A273" s="18" t="s">
        <v>7</v>
      </c>
      <c r="B273" s="18" t="s">
        <v>414</v>
      </c>
      <c r="C273" s="18">
        <v>472624</v>
      </c>
      <c r="D273" s="18" t="s">
        <v>426</v>
      </c>
      <c r="E273" s="118" t="s">
        <v>427</v>
      </c>
      <c r="F273" s="18" t="s">
        <v>692</v>
      </c>
      <c r="G273" s="18" t="s">
        <v>692</v>
      </c>
      <c r="H273" s="18" t="s">
        <v>692</v>
      </c>
      <c r="I273" s="18" t="s">
        <v>692</v>
      </c>
      <c r="J273" s="82">
        <f>1248168.11-14496.83-2693.14</f>
        <v>1230978.1400000001</v>
      </c>
      <c r="K273" s="82">
        <v>0</v>
      </c>
      <c r="L273" s="82">
        <f>1248168.11-14496.83-2693.14</f>
        <v>1230978.1400000001</v>
      </c>
      <c r="M273" s="67">
        <f>L273*0.85</f>
        <v>1046331.4190000001</v>
      </c>
      <c r="N273" s="67">
        <f>L273-M273</f>
        <v>184646.72100000002</v>
      </c>
      <c r="O273" s="65">
        <v>0</v>
      </c>
      <c r="P273" s="84">
        <f t="shared" si="12"/>
        <v>1</v>
      </c>
      <c r="Q273" s="73"/>
      <c r="R273" s="73"/>
    </row>
    <row r="274" spans="1:18" customFormat="1" ht="29.55" x14ac:dyDescent="0.3">
      <c r="A274" s="18" t="s">
        <v>7</v>
      </c>
      <c r="B274" s="18" t="s">
        <v>414</v>
      </c>
      <c r="C274" s="18">
        <v>472624</v>
      </c>
      <c r="D274" s="18" t="s">
        <v>426</v>
      </c>
      <c r="E274" s="131" t="s">
        <v>428</v>
      </c>
      <c r="F274" s="18" t="s">
        <v>692</v>
      </c>
      <c r="G274" s="18" t="s">
        <v>692</v>
      </c>
      <c r="H274" s="18" t="s">
        <v>692</v>
      </c>
      <c r="I274" s="18" t="s">
        <v>692</v>
      </c>
      <c r="J274" s="82">
        <v>214345.79</v>
      </c>
      <c r="K274" s="82">
        <v>0</v>
      </c>
      <c r="L274" s="82">
        <v>214345.79</v>
      </c>
      <c r="M274" s="67">
        <v>182193.9215</v>
      </c>
      <c r="N274" s="67">
        <v>32151.868500000011</v>
      </c>
      <c r="O274" s="65">
        <v>0</v>
      </c>
      <c r="P274" s="84">
        <f t="shared" si="12"/>
        <v>1</v>
      </c>
      <c r="Q274" s="73"/>
      <c r="R274" s="73"/>
    </row>
    <row r="275" spans="1:18" customFormat="1" ht="29.55" x14ac:dyDescent="0.3">
      <c r="A275" s="18" t="s">
        <v>7</v>
      </c>
      <c r="B275" s="18" t="s">
        <v>414</v>
      </c>
      <c r="C275" s="18">
        <v>472624</v>
      </c>
      <c r="D275" s="18" t="s">
        <v>426</v>
      </c>
      <c r="E275" s="131" t="s">
        <v>429</v>
      </c>
      <c r="F275" s="49" t="s">
        <v>692</v>
      </c>
      <c r="G275" s="49" t="s">
        <v>692</v>
      </c>
      <c r="H275" s="49" t="s">
        <v>692</v>
      </c>
      <c r="I275" s="49" t="s">
        <v>692</v>
      </c>
      <c r="J275" s="82">
        <v>79119.25</v>
      </c>
      <c r="K275" s="85">
        <v>0</v>
      </c>
      <c r="L275" s="85">
        <v>79119.25</v>
      </c>
      <c r="M275" s="67">
        <v>67251.362500000003</v>
      </c>
      <c r="N275" s="67">
        <v>11867.887499999997</v>
      </c>
      <c r="O275" s="65">
        <v>0</v>
      </c>
      <c r="P275" s="84">
        <f t="shared" si="12"/>
        <v>1</v>
      </c>
      <c r="Q275" s="73"/>
      <c r="R275" s="73"/>
    </row>
    <row r="276" spans="1:18" customFormat="1" ht="29.55" x14ac:dyDescent="0.3">
      <c r="A276" s="18" t="s">
        <v>7</v>
      </c>
      <c r="B276" s="18" t="s">
        <v>414</v>
      </c>
      <c r="C276" s="18">
        <v>562850</v>
      </c>
      <c r="D276" s="18" t="s">
        <v>430</v>
      </c>
      <c r="E276" s="118" t="s">
        <v>431</v>
      </c>
      <c r="F276" s="49" t="s">
        <v>692</v>
      </c>
      <c r="G276" s="49" t="s">
        <v>692</v>
      </c>
      <c r="H276" s="49" t="s">
        <v>692</v>
      </c>
      <c r="I276" s="49" t="s">
        <v>692</v>
      </c>
      <c r="J276" s="82">
        <v>496519.83999999997</v>
      </c>
      <c r="K276" s="85">
        <v>0</v>
      </c>
      <c r="L276" s="85">
        <v>496519.83999999997</v>
      </c>
      <c r="M276" s="67">
        <v>422041.86399999994</v>
      </c>
      <c r="N276" s="65">
        <v>74477.976000000024</v>
      </c>
      <c r="O276" s="65">
        <v>0</v>
      </c>
      <c r="P276" s="84">
        <f t="shared" si="12"/>
        <v>1</v>
      </c>
      <c r="Q276" s="73"/>
      <c r="R276" s="73"/>
    </row>
    <row r="277" spans="1:18" customFormat="1" ht="29.55" x14ac:dyDescent="0.3">
      <c r="A277" s="18" t="s">
        <v>7</v>
      </c>
      <c r="B277" s="18" t="s">
        <v>414</v>
      </c>
      <c r="C277" s="18">
        <v>562850</v>
      </c>
      <c r="D277" s="18" t="s">
        <v>430</v>
      </c>
      <c r="E277" s="118" t="s">
        <v>432</v>
      </c>
      <c r="F277" s="49" t="s">
        <v>692</v>
      </c>
      <c r="G277" s="49" t="s">
        <v>692</v>
      </c>
      <c r="H277" s="49" t="s">
        <v>692</v>
      </c>
      <c r="I277" s="49" t="s">
        <v>692</v>
      </c>
      <c r="J277" s="82">
        <v>382091.14</v>
      </c>
      <c r="K277" s="85">
        <v>0</v>
      </c>
      <c r="L277" s="85">
        <v>382091.14</v>
      </c>
      <c r="M277" s="67">
        <v>324777.46899999998</v>
      </c>
      <c r="N277" s="67">
        <v>57313.671000000031</v>
      </c>
      <c r="O277" s="65">
        <v>0</v>
      </c>
      <c r="P277" s="84">
        <f t="shared" si="12"/>
        <v>1</v>
      </c>
      <c r="Q277" s="73"/>
      <c r="R277" s="73"/>
    </row>
    <row r="278" spans="1:18" customFormat="1" ht="29.55" x14ac:dyDescent="0.3">
      <c r="A278" s="18" t="s">
        <v>7</v>
      </c>
      <c r="B278" s="18" t="s">
        <v>414</v>
      </c>
      <c r="C278" s="18">
        <v>562850</v>
      </c>
      <c r="D278" s="18" t="s">
        <v>430</v>
      </c>
      <c r="E278" s="118" t="s">
        <v>433</v>
      </c>
      <c r="F278" s="49" t="s">
        <v>692</v>
      </c>
      <c r="G278" s="49" t="s">
        <v>692</v>
      </c>
      <c r="H278" s="49" t="s">
        <v>692</v>
      </c>
      <c r="I278" s="49" t="s">
        <v>692</v>
      </c>
      <c r="J278" s="82">
        <v>278453.55</v>
      </c>
      <c r="K278" s="85">
        <v>0</v>
      </c>
      <c r="L278" s="85">
        <v>278453.55</v>
      </c>
      <c r="M278" s="67">
        <v>236685.51749999999</v>
      </c>
      <c r="N278" s="65">
        <v>41768.032500000001</v>
      </c>
      <c r="O278" s="65">
        <v>0</v>
      </c>
      <c r="P278" s="84">
        <f t="shared" si="12"/>
        <v>1</v>
      </c>
      <c r="Q278" s="73"/>
      <c r="R278" s="73"/>
    </row>
    <row r="279" spans="1:18" customFormat="1" ht="44.35" x14ac:dyDescent="0.3">
      <c r="A279" s="18" t="s">
        <v>7</v>
      </c>
      <c r="B279" s="18" t="s">
        <v>414</v>
      </c>
      <c r="C279" s="18">
        <v>505420</v>
      </c>
      <c r="D279" s="18" t="s">
        <v>434</v>
      </c>
      <c r="E279" s="118" t="s">
        <v>435</v>
      </c>
      <c r="F279" s="49" t="s">
        <v>692</v>
      </c>
      <c r="G279" s="49" t="s">
        <v>692</v>
      </c>
      <c r="H279" s="49" t="s">
        <v>692</v>
      </c>
      <c r="I279" s="49" t="s">
        <v>692</v>
      </c>
      <c r="J279" s="82">
        <v>467812.87</v>
      </c>
      <c r="K279" s="85">
        <v>0</v>
      </c>
      <c r="L279" s="85">
        <v>467812.87</v>
      </c>
      <c r="M279" s="67">
        <v>397640.93949999998</v>
      </c>
      <c r="N279" s="67">
        <v>70171.930500000017</v>
      </c>
      <c r="O279" s="65">
        <v>0</v>
      </c>
      <c r="P279" s="84">
        <f t="shared" si="12"/>
        <v>1</v>
      </c>
      <c r="Q279" s="73"/>
      <c r="R279" s="73"/>
    </row>
    <row r="280" spans="1:18" customFormat="1" ht="59.1" x14ac:dyDescent="0.3">
      <c r="A280" s="18" t="s">
        <v>7</v>
      </c>
      <c r="B280" s="18" t="s">
        <v>414</v>
      </c>
      <c r="C280" s="132">
        <v>505420</v>
      </c>
      <c r="D280" s="18" t="s">
        <v>434</v>
      </c>
      <c r="E280" s="118" t="s">
        <v>436</v>
      </c>
      <c r="F280" s="49" t="s">
        <v>692</v>
      </c>
      <c r="G280" s="49" t="s">
        <v>692</v>
      </c>
      <c r="H280" s="49" t="s">
        <v>692</v>
      </c>
      <c r="I280" s="49" t="s">
        <v>692</v>
      </c>
      <c r="J280" s="82">
        <v>230406.65</v>
      </c>
      <c r="K280" s="85">
        <v>34560.920000000013</v>
      </c>
      <c r="L280" s="85">
        <v>195845.72999999998</v>
      </c>
      <c r="M280" s="67">
        <v>195845.72999999998</v>
      </c>
      <c r="N280" s="67">
        <v>0</v>
      </c>
      <c r="O280" s="65">
        <v>0</v>
      </c>
      <c r="P280" s="84">
        <f t="shared" si="12"/>
        <v>0.85000033636181938</v>
      </c>
      <c r="Q280" s="73"/>
      <c r="R280" s="73"/>
    </row>
    <row r="281" spans="1:18" customFormat="1" x14ac:dyDescent="0.3">
      <c r="A281" s="18" t="s">
        <v>7</v>
      </c>
      <c r="B281" s="18" t="s">
        <v>414</v>
      </c>
      <c r="C281" s="18">
        <v>505420</v>
      </c>
      <c r="D281" s="18" t="s">
        <v>434</v>
      </c>
      <c r="E281" s="118" t="s">
        <v>437</v>
      </c>
      <c r="F281" s="49" t="s">
        <v>692</v>
      </c>
      <c r="G281" s="49" t="s">
        <v>692</v>
      </c>
      <c r="H281" s="49" t="s">
        <v>692</v>
      </c>
      <c r="I281" s="49" t="s">
        <v>692</v>
      </c>
      <c r="J281" s="82">
        <v>170133.55</v>
      </c>
      <c r="K281" s="85">
        <v>0</v>
      </c>
      <c r="L281" s="85">
        <v>170133.55</v>
      </c>
      <c r="M281" s="67">
        <v>144613.51749999999</v>
      </c>
      <c r="N281" s="67">
        <v>25520.032500000001</v>
      </c>
      <c r="O281" s="65">
        <v>0</v>
      </c>
      <c r="P281" s="84">
        <f t="shared" si="12"/>
        <v>1</v>
      </c>
      <c r="Q281" s="73"/>
      <c r="R281" s="73"/>
    </row>
    <row r="282" spans="1:18" customFormat="1" ht="29.55" x14ac:dyDescent="0.3">
      <c r="A282" s="18" t="s">
        <v>7</v>
      </c>
      <c r="B282" s="18" t="s">
        <v>414</v>
      </c>
      <c r="C282" s="18">
        <v>505420</v>
      </c>
      <c r="D282" s="18" t="s">
        <v>434</v>
      </c>
      <c r="E282" s="118" t="s">
        <v>438</v>
      </c>
      <c r="F282" s="49" t="s">
        <v>692</v>
      </c>
      <c r="G282" s="49">
        <v>3286</v>
      </c>
      <c r="H282" s="49">
        <v>581764</v>
      </c>
      <c r="I282" s="49">
        <v>864882</v>
      </c>
      <c r="J282" s="82">
        <v>165975.86000000002</v>
      </c>
      <c r="K282" s="85">
        <v>24896.510000000038</v>
      </c>
      <c r="L282" s="85">
        <v>141079.34999999998</v>
      </c>
      <c r="M282" s="67">
        <v>141079.34999999998</v>
      </c>
      <c r="N282" s="65">
        <v>0</v>
      </c>
      <c r="O282" s="65">
        <v>0</v>
      </c>
      <c r="P282" s="84">
        <f t="shared" si="12"/>
        <v>0.84999921072859608</v>
      </c>
      <c r="Q282" s="73"/>
      <c r="R282" s="73"/>
    </row>
    <row r="283" spans="1:18" customFormat="1" ht="44.35" x14ac:dyDescent="0.3">
      <c r="A283" s="18" t="s">
        <v>7</v>
      </c>
      <c r="B283" s="18" t="s">
        <v>414</v>
      </c>
      <c r="C283" s="18">
        <v>505420</v>
      </c>
      <c r="D283" s="18" t="s">
        <v>434</v>
      </c>
      <c r="E283" s="118" t="s">
        <v>439</v>
      </c>
      <c r="F283" s="49" t="s">
        <v>692</v>
      </c>
      <c r="G283" s="49" t="s">
        <v>692</v>
      </c>
      <c r="H283" s="49" t="s">
        <v>692</v>
      </c>
      <c r="I283" s="49" t="s">
        <v>692</v>
      </c>
      <c r="J283" s="82">
        <v>283.08</v>
      </c>
      <c r="K283" s="85">
        <v>0</v>
      </c>
      <c r="L283" s="85">
        <v>283.08</v>
      </c>
      <c r="M283" s="67">
        <v>240.61799999999997</v>
      </c>
      <c r="N283" s="65">
        <v>42.462000000000018</v>
      </c>
      <c r="O283" s="65">
        <v>0</v>
      </c>
      <c r="P283" s="84">
        <f t="shared" si="12"/>
        <v>1</v>
      </c>
      <c r="Q283" s="73"/>
      <c r="R283" s="73"/>
    </row>
    <row r="284" spans="1:18" customFormat="1" x14ac:dyDescent="0.3">
      <c r="A284" s="18" t="s">
        <v>7</v>
      </c>
      <c r="B284" s="18" t="s">
        <v>414</v>
      </c>
      <c r="C284" s="18">
        <v>632120</v>
      </c>
      <c r="D284" s="18" t="s">
        <v>440</v>
      </c>
      <c r="E284" s="118" t="s">
        <v>441</v>
      </c>
      <c r="F284" s="18" t="s">
        <v>692</v>
      </c>
      <c r="G284" s="18" t="s">
        <v>692</v>
      </c>
      <c r="H284" s="18" t="s">
        <v>692</v>
      </c>
      <c r="I284" s="18" t="s">
        <v>692</v>
      </c>
      <c r="J284" s="82">
        <v>1745000</v>
      </c>
      <c r="K284" s="85">
        <v>0</v>
      </c>
      <c r="L284" s="85">
        <v>1745000</v>
      </c>
      <c r="M284" s="67">
        <v>1483250</v>
      </c>
      <c r="N284" s="67">
        <v>261750</v>
      </c>
      <c r="O284" s="65">
        <v>0</v>
      </c>
      <c r="P284" s="84">
        <f t="shared" si="12"/>
        <v>1</v>
      </c>
      <c r="Q284" s="73"/>
      <c r="R284" s="73"/>
    </row>
    <row r="285" spans="1:18" customFormat="1" ht="44.35" x14ac:dyDescent="0.3">
      <c r="A285" s="18" t="s">
        <v>7</v>
      </c>
      <c r="B285" s="18" t="s">
        <v>414</v>
      </c>
      <c r="C285" s="18">
        <v>614306</v>
      </c>
      <c r="D285" s="18" t="s">
        <v>442</v>
      </c>
      <c r="E285" s="131" t="s">
        <v>38</v>
      </c>
      <c r="F285" s="49" t="s">
        <v>692</v>
      </c>
      <c r="G285" s="49" t="s">
        <v>692</v>
      </c>
      <c r="H285" s="49" t="s">
        <v>692</v>
      </c>
      <c r="I285" s="49" t="s">
        <v>692</v>
      </c>
      <c r="J285" s="82">
        <v>472626</v>
      </c>
      <c r="K285" s="85">
        <v>0</v>
      </c>
      <c r="L285" s="85">
        <v>472626</v>
      </c>
      <c r="M285" s="67">
        <v>401732.1</v>
      </c>
      <c r="N285" s="67">
        <v>70893.900000000023</v>
      </c>
      <c r="O285" s="65">
        <v>0</v>
      </c>
      <c r="P285" s="84">
        <f t="shared" si="12"/>
        <v>1</v>
      </c>
      <c r="Q285" s="73"/>
      <c r="R285" s="73"/>
    </row>
    <row r="286" spans="1:18" customFormat="1" x14ac:dyDescent="0.3">
      <c r="A286" s="18" t="s">
        <v>7</v>
      </c>
      <c r="B286" s="18" t="s">
        <v>414</v>
      </c>
      <c r="C286" s="18">
        <v>614306</v>
      </c>
      <c r="D286" s="18" t="s">
        <v>442</v>
      </c>
      <c r="E286" s="118" t="s">
        <v>443</v>
      </c>
      <c r="F286" s="49" t="s">
        <v>692</v>
      </c>
      <c r="G286" s="49">
        <v>3286</v>
      </c>
      <c r="H286" s="49">
        <v>581765</v>
      </c>
      <c r="I286" s="49">
        <v>951692</v>
      </c>
      <c r="J286" s="82">
        <v>182673.07</v>
      </c>
      <c r="K286" s="85">
        <v>27400.990500000014</v>
      </c>
      <c r="L286" s="85">
        <v>155272.07949999999</v>
      </c>
      <c r="M286" s="67">
        <v>155272.07949999999</v>
      </c>
      <c r="N286" s="67">
        <v>0</v>
      </c>
      <c r="O286" s="65">
        <v>0</v>
      </c>
      <c r="P286" s="84">
        <f t="shared" si="12"/>
        <v>0.8499998357721803</v>
      </c>
      <c r="Q286" s="73"/>
      <c r="R286" s="73"/>
    </row>
    <row r="287" spans="1:18" customFormat="1" ht="29.55" x14ac:dyDescent="0.3">
      <c r="A287" s="18" t="s">
        <v>7</v>
      </c>
      <c r="B287" s="18" t="s">
        <v>414</v>
      </c>
      <c r="C287" s="18">
        <v>614306</v>
      </c>
      <c r="D287" s="18" t="s">
        <v>442</v>
      </c>
      <c r="E287" s="118" t="s">
        <v>670</v>
      </c>
      <c r="F287" s="49" t="s">
        <v>692</v>
      </c>
      <c r="G287" s="49">
        <v>3286</v>
      </c>
      <c r="H287" s="49">
        <v>581791</v>
      </c>
      <c r="I287" s="49">
        <v>951701</v>
      </c>
      <c r="J287" s="82">
        <v>725205.21</v>
      </c>
      <c r="K287" s="85">
        <v>362602.60999999993</v>
      </c>
      <c r="L287" s="85">
        <v>362602.60000000003</v>
      </c>
      <c r="M287" s="67">
        <v>362602.60000000003</v>
      </c>
      <c r="N287" s="67">
        <v>0</v>
      </c>
      <c r="O287" s="65">
        <v>0</v>
      </c>
      <c r="P287" s="84">
        <f t="shared" si="12"/>
        <v>0.49999999310539983</v>
      </c>
      <c r="Q287" s="73"/>
      <c r="R287" s="73"/>
    </row>
    <row r="288" spans="1:18" customFormat="1" ht="29.55" x14ac:dyDescent="0.3">
      <c r="A288" s="18" t="s">
        <v>7</v>
      </c>
      <c r="B288" s="18" t="s">
        <v>414</v>
      </c>
      <c r="C288" s="18">
        <v>614306</v>
      </c>
      <c r="D288" s="18" t="s">
        <v>442</v>
      </c>
      <c r="E288" s="118" t="s">
        <v>444</v>
      </c>
      <c r="F288" s="49" t="s">
        <v>692</v>
      </c>
      <c r="G288" s="49" t="s">
        <v>692</v>
      </c>
      <c r="H288" s="49" t="s">
        <v>692</v>
      </c>
      <c r="I288" s="49" t="s">
        <v>692</v>
      </c>
      <c r="J288" s="82">
        <v>157417.76</v>
      </c>
      <c r="K288" s="85">
        <v>0</v>
      </c>
      <c r="L288" s="85">
        <v>157417.76</v>
      </c>
      <c r="M288" s="67">
        <v>133805.09599999999</v>
      </c>
      <c r="N288" s="67">
        <v>23612.664000000019</v>
      </c>
      <c r="O288" s="65">
        <v>0</v>
      </c>
      <c r="P288" s="84">
        <f t="shared" si="12"/>
        <v>1</v>
      </c>
      <c r="Q288" s="73"/>
      <c r="R288" s="73"/>
    </row>
    <row r="289" spans="1:18" customFormat="1" ht="29.55" x14ac:dyDescent="0.3">
      <c r="A289" s="18" t="s">
        <v>7</v>
      </c>
      <c r="B289" s="18" t="s">
        <v>414</v>
      </c>
      <c r="C289" s="18">
        <v>623647</v>
      </c>
      <c r="D289" s="18" t="s">
        <v>445</v>
      </c>
      <c r="E289" s="118" t="s">
        <v>446</v>
      </c>
      <c r="F289" s="49" t="s">
        <v>692</v>
      </c>
      <c r="G289" s="49" t="s">
        <v>692</v>
      </c>
      <c r="H289" s="49" t="s">
        <v>692</v>
      </c>
      <c r="I289" s="49" t="s">
        <v>692</v>
      </c>
      <c r="J289" s="82">
        <v>100056</v>
      </c>
      <c r="K289" s="85">
        <v>0</v>
      </c>
      <c r="L289" s="85">
        <v>100056</v>
      </c>
      <c r="M289" s="67">
        <v>85047.599999999991</v>
      </c>
      <c r="N289" s="67">
        <v>15008.400000000009</v>
      </c>
      <c r="O289" s="65">
        <v>0</v>
      </c>
      <c r="P289" s="84">
        <f t="shared" si="12"/>
        <v>1</v>
      </c>
      <c r="Q289" s="73"/>
      <c r="R289" s="73"/>
    </row>
    <row r="290" spans="1:18" customFormat="1" ht="29.55" x14ac:dyDescent="0.3">
      <c r="A290" s="18" t="s">
        <v>7</v>
      </c>
      <c r="B290" s="18" t="s">
        <v>414</v>
      </c>
      <c r="C290" s="18">
        <v>623647</v>
      </c>
      <c r="D290" s="18" t="s">
        <v>445</v>
      </c>
      <c r="E290" s="118" t="s">
        <v>671</v>
      </c>
      <c r="F290" s="49" t="s">
        <v>692</v>
      </c>
      <c r="G290" s="49" t="s">
        <v>692</v>
      </c>
      <c r="H290" s="49" t="s">
        <v>692</v>
      </c>
      <c r="I290" s="49" t="s">
        <v>692</v>
      </c>
      <c r="J290" s="82">
        <v>247054.21000000002</v>
      </c>
      <c r="K290" s="85">
        <v>0</v>
      </c>
      <c r="L290" s="85">
        <v>247054.21000000002</v>
      </c>
      <c r="M290" s="67">
        <v>209996.0785</v>
      </c>
      <c r="N290" s="67">
        <v>37058.131500000018</v>
      </c>
      <c r="O290" s="65">
        <v>0</v>
      </c>
      <c r="P290" s="84">
        <f t="shared" si="12"/>
        <v>1</v>
      </c>
      <c r="Q290" s="73"/>
      <c r="R290" s="73"/>
    </row>
    <row r="291" spans="1:18" customFormat="1" ht="29.55" x14ac:dyDescent="0.3">
      <c r="A291" s="18" t="s">
        <v>7</v>
      </c>
      <c r="B291" s="18" t="s">
        <v>414</v>
      </c>
      <c r="C291" s="18">
        <v>623647</v>
      </c>
      <c r="D291" s="18" t="s">
        <v>445</v>
      </c>
      <c r="E291" s="118" t="s">
        <v>447</v>
      </c>
      <c r="F291" s="18" t="s">
        <v>692</v>
      </c>
      <c r="G291" s="18" t="s">
        <v>692</v>
      </c>
      <c r="H291" s="18" t="s">
        <v>692</v>
      </c>
      <c r="I291" s="18" t="s">
        <v>692</v>
      </c>
      <c r="J291" s="82">
        <v>48770.76</v>
      </c>
      <c r="K291" s="85">
        <v>0</v>
      </c>
      <c r="L291" s="85">
        <v>48770.76</v>
      </c>
      <c r="M291" s="67">
        <v>41455.146000000001</v>
      </c>
      <c r="N291" s="67">
        <v>7315.6140000000014</v>
      </c>
      <c r="O291" s="65">
        <v>0</v>
      </c>
      <c r="P291" s="84">
        <f t="shared" si="12"/>
        <v>1</v>
      </c>
      <c r="Q291" s="73"/>
      <c r="R291" s="73"/>
    </row>
    <row r="292" spans="1:18" customFormat="1" x14ac:dyDescent="0.3">
      <c r="A292" s="18" t="s">
        <v>7</v>
      </c>
      <c r="B292" s="18" t="s">
        <v>414</v>
      </c>
      <c r="C292" s="18">
        <v>623647</v>
      </c>
      <c r="D292" s="18" t="s">
        <v>445</v>
      </c>
      <c r="E292" s="131" t="s">
        <v>83</v>
      </c>
      <c r="F292" s="49" t="s">
        <v>692</v>
      </c>
      <c r="G292" s="49" t="s">
        <v>692</v>
      </c>
      <c r="H292" s="49" t="s">
        <v>692</v>
      </c>
      <c r="I292" s="49" t="s">
        <v>692</v>
      </c>
      <c r="J292" s="82">
        <v>12004.8</v>
      </c>
      <c r="K292" s="85">
        <v>0</v>
      </c>
      <c r="L292" s="85">
        <v>12004.8</v>
      </c>
      <c r="M292" s="67">
        <v>10204.08</v>
      </c>
      <c r="N292" s="67">
        <v>1800.7199999999993</v>
      </c>
      <c r="O292" s="65">
        <v>0</v>
      </c>
      <c r="P292" s="84">
        <f t="shared" si="12"/>
        <v>1</v>
      </c>
      <c r="Q292" s="73"/>
      <c r="R292" s="73"/>
    </row>
    <row r="293" spans="1:18" customFormat="1" x14ac:dyDescent="0.3">
      <c r="A293" s="18" t="s">
        <v>7</v>
      </c>
      <c r="B293" s="18" t="s">
        <v>414</v>
      </c>
      <c r="C293" s="18">
        <v>623647</v>
      </c>
      <c r="D293" s="18" t="s">
        <v>445</v>
      </c>
      <c r="E293" s="118" t="s">
        <v>295</v>
      </c>
      <c r="F293" s="49" t="s">
        <v>692</v>
      </c>
      <c r="G293" s="49" t="s">
        <v>692</v>
      </c>
      <c r="H293" s="49" t="s">
        <v>692</v>
      </c>
      <c r="I293" s="49" t="s">
        <v>692</v>
      </c>
      <c r="J293" s="82">
        <v>1143020</v>
      </c>
      <c r="K293" s="85">
        <v>0</v>
      </c>
      <c r="L293" s="85">
        <v>1143020</v>
      </c>
      <c r="M293" s="67">
        <v>971567</v>
      </c>
      <c r="N293" s="67">
        <v>171453</v>
      </c>
      <c r="O293" s="65">
        <v>0</v>
      </c>
      <c r="P293" s="84">
        <f t="shared" si="12"/>
        <v>1</v>
      </c>
      <c r="Q293" s="73"/>
      <c r="R293" s="73"/>
    </row>
    <row r="294" spans="1:18" customFormat="1" x14ac:dyDescent="0.3">
      <c r="A294" s="18" t="s">
        <v>7</v>
      </c>
      <c r="B294" s="18" t="s">
        <v>414</v>
      </c>
      <c r="C294" s="18">
        <v>635807</v>
      </c>
      <c r="D294" s="18" t="s">
        <v>448</v>
      </c>
      <c r="E294" s="118" t="s">
        <v>391</v>
      </c>
      <c r="F294" s="49" t="s">
        <v>692</v>
      </c>
      <c r="G294" s="49" t="s">
        <v>692</v>
      </c>
      <c r="H294" s="49" t="s">
        <v>692</v>
      </c>
      <c r="I294" s="49" t="s">
        <v>692</v>
      </c>
      <c r="J294" s="82">
        <v>350838.19</v>
      </c>
      <c r="K294" s="85">
        <v>0</v>
      </c>
      <c r="L294" s="85">
        <v>350838.19</v>
      </c>
      <c r="M294" s="67">
        <v>298212.46149999998</v>
      </c>
      <c r="N294" s="67">
        <v>52625.728500000027</v>
      </c>
      <c r="O294" s="65">
        <v>0</v>
      </c>
      <c r="P294" s="84">
        <f t="shared" si="12"/>
        <v>1</v>
      </c>
      <c r="Q294" s="73"/>
      <c r="R294" s="73"/>
    </row>
    <row r="295" spans="1:18" customFormat="1" x14ac:dyDescent="0.3">
      <c r="A295" s="18" t="s">
        <v>7</v>
      </c>
      <c r="B295" s="18" t="s">
        <v>414</v>
      </c>
      <c r="C295" s="18">
        <v>635807</v>
      </c>
      <c r="D295" s="18" t="s">
        <v>448</v>
      </c>
      <c r="E295" s="118" t="s">
        <v>449</v>
      </c>
      <c r="F295" s="49" t="s">
        <v>692</v>
      </c>
      <c r="G295" s="49" t="s">
        <v>692</v>
      </c>
      <c r="H295" s="49" t="s">
        <v>692</v>
      </c>
      <c r="I295" s="49" t="s">
        <v>692</v>
      </c>
      <c r="J295" s="82">
        <v>505099.5</v>
      </c>
      <c r="K295" s="85">
        <v>0</v>
      </c>
      <c r="L295" s="85">
        <v>505099.5</v>
      </c>
      <c r="M295" s="67">
        <v>429334.58</v>
      </c>
      <c r="N295" s="67">
        <f>L295-M295</f>
        <v>75764.919999999984</v>
      </c>
      <c r="O295" s="65">
        <v>0</v>
      </c>
      <c r="P295" s="84">
        <f t="shared" si="12"/>
        <v>1</v>
      </c>
      <c r="Q295" s="73"/>
      <c r="R295" s="73"/>
    </row>
    <row r="296" spans="1:18" customFormat="1" ht="29.55" x14ac:dyDescent="0.3">
      <c r="A296" s="18" t="s">
        <v>7</v>
      </c>
      <c r="B296" s="18" t="s">
        <v>414</v>
      </c>
      <c r="C296" s="18">
        <v>635807</v>
      </c>
      <c r="D296" s="18" t="s">
        <v>448</v>
      </c>
      <c r="E296" s="118" t="s">
        <v>450</v>
      </c>
      <c r="F296" s="49" t="s">
        <v>692</v>
      </c>
      <c r="G296" s="49" t="s">
        <v>692</v>
      </c>
      <c r="H296" s="49" t="s">
        <v>692</v>
      </c>
      <c r="I296" s="49" t="s">
        <v>692</v>
      </c>
      <c r="J296" s="82">
        <v>112000.11</v>
      </c>
      <c r="K296" s="85">
        <v>0</v>
      </c>
      <c r="L296" s="85">
        <v>112000.11</v>
      </c>
      <c r="M296" s="67">
        <v>95200.093500000003</v>
      </c>
      <c r="N296" s="67">
        <v>16800.016499999998</v>
      </c>
      <c r="O296" s="65">
        <v>0</v>
      </c>
      <c r="P296" s="84">
        <f t="shared" si="12"/>
        <v>1</v>
      </c>
      <c r="Q296" s="73"/>
      <c r="R296" s="73"/>
    </row>
    <row r="297" spans="1:18" customFormat="1" ht="29.55" x14ac:dyDescent="0.3">
      <c r="A297" s="18" t="s">
        <v>7</v>
      </c>
      <c r="B297" s="18" t="s">
        <v>451</v>
      </c>
      <c r="C297" s="18">
        <v>635807</v>
      </c>
      <c r="D297" s="18" t="s">
        <v>448</v>
      </c>
      <c r="E297" s="118" t="s">
        <v>452</v>
      </c>
      <c r="F297" s="49" t="s">
        <v>692</v>
      </c>
      <c r="G297" s="49" t="s">
        <v>692</v>
      </c>
      <c r="H297" s="49" t="s">
        <v>692</v>
      </c>
      <c r="I297" s="49" t="s">
        <v>692</v>
      </c>
      <c r="J297" s="82">
        <v>119918.85</v>
      </c>
      <c r="K297" s="85">
        <v>0</v>
      </c>
      <c r="L297" s="85">
        <v>119918.85</v>
      </c>
      <c r="M297" s="67">
        <v>101931.02250000001</v>
      </c>
      <c r="N297" s="67">
        <v>17987.827499999999</v>
      </c>
      <c r="O297" s="65">
        <v>0</v>
      </c>
      <c r="P297" s="84">
        <f t="shared" si="12"/>
        <v>1</v>
      </c>
      <c r="Q297" s="73"/>
      <c r="R297" s="73"/>
    </row>
    <row r="298" spans="1:18" customFormat="1" x14ac:dyDescent="0.3">
      <c r="A298" s="18" t="s">
        <v>7</v>
      </c>
      <c r="B298" s="18" t="s">
        <v>451</v>
      </c>
      <c r="C298" s="18">
        <v>635807</v>
      </c>
      <c r="D298" s="18" t="s">
        <v>448</v>
      </c>
      <c r="E298" s="118" t="s">
        <v>453</v>
      </c>
      <c r="F298" s="49" t="s">
        <v>692</v>
      </c>
      <c r="G298" s="49" t="s">
        <v>692</v>
      </c>
      <c r="H298" s="49" t="s">
        <v>692</v>
      </c>
      <c r="I298" s="49" t="s">
        <v>692</v>
      </c>
      <c r="J298" s="82">
        <v>100000.23</v>
      </c>
      <c r="K298" s="85">
        <v>0</v>
      </c>
      <c r="L298" s="85">
        <v>100000.23</v>
      </c>
      <c r="M298" s="67">
        <v>85000.195499999987</v>
      </c>
      <c r="N298" s="67">
        <v>15000.034500000009</v>
      </c>
      <c r="O298" s="65">
        <v>0</v>
      </c>
      <c r="P298" s="84">
        <f t="shared" si="12"/>
        <v>1</v>
      </c>
      <c r="Q298" s="73"/>
      <c r="R298" s="73"/>
    </row>
    <row r="299" spans="1:18" customFormat="1" ht="29.55" x14ac:dyDescent="0.3">
      <c r="A299" s="18" t="s">
        <v>7</v>
      </c>
      <c r="B299" s="18" t="s">
        <v>451</v>
      </c>
      <c r="C299" s="18">
        <v>635807</v>
      </c>
      <c r="D299" s="18" t="s">
        <v>448</v>
      </c>
      <c r="E299" s="118" t="s">
        <v>454</v>
      </c>
      <c r="F299" s="49" t="s">
        <v>692</v>
      </c>
      <c r="G299" s="49" t="s">
        <v>692</v>
      </c>
      <c r="H299" s="49" t="s">
        <v>692</v>
      </c>
      <c r="I299" s="49" t="s">
        <v>692</v>
      </c>
      <c r="J299" s="82">
        <v>261802.35</v>
      </c>
      <c r="K299" s="85">
        <v>0</v>
      </c>
      <c r="L299" s="85">
        <v>261802.35</v>
      </c>
      <c r="M299" s="67">
        <v>222531.9975</v>
      </c>
      <c r="N299" s="67">
        <v>39270.352500000008</v>
      </c>
      <c r="O299" s="65">
        <v>0</v>
      </c>
      <c r="P299" s="84">
        <f t="shared" si="12"/>
        <v>1</v>
      </c>
      <c r="Q299" s="73"/>
      <c r="R299" s="73"/>
    </row>
    <row r="300" spans="1:18" customFormat="1" x14ac:dyDescent="0.3">
      <c r="A300" s="18" t="s">
        <v>7</v>
      </c>
      <c r="B300" s="18" t="s">
        <v>451</v>
      </c>
      <c r="C300" s="18">
        <v>635807</v>
      </c>
      <c r="D300" s="18" t="s">
        <v>448</v>
      </c>
      <c r="E300" s="118" t="s">
        <v>455</v>
      </c>
      <c r="F300" s="49" t="s">
        <v>692</v>
      </c>
      <c r="G300" s="49" t="s">
        <v>692</v>
      </c>
      <c r="H300" s="49" t="s">
        <v>692</v>
      </c>
      <c r="I300" s="49" t="s">
        <v>692</v>
      </c>
      <c r="J300" s="82">
        <v>228000</v>
      </c>
      <c r="K300" s="85">
        <v>0</v>
      </c>
      <c r="L300" s="85">
        <v>228000</v>
      </c>
      <c r="M300" s="67">
        <v>193800</v>
      </c>
      <c r="N300" s="67">
        <v>34200</v>
      </c>
      <c r="O300" s="65">
        <v>0</v>
      </c>
      <c r="P300" s="84">
        <f t="shared" si="12"/>
        <v>1</v>
      </c>
      <c r="Q300" s="73"/>
      <c r="R300" s="73"/>
    </row>
    <row r="301" spans="1:18" customFormat="1" x14ac:dyDescent="0.3">
      <c r="A301" s="18" t="s">
        <v>421</v>
      </c>
      <c r="B301" s="18" t="s">
        <v>451</v>
      </c>
      <c r="C301" s="18">
        <v>1529987</v>
      </c>
      <c r="D301" s="18" t="s">
        <v>456</v>
      </c>
      <c r="E301" s="118" t="s">
        <v>457</v>
      </c>
      <c r="F301" s="49" t="s">
        <v>692</v>
      </c>
      <c r="G301" s="49" t="s">
        <v>692</v>
      </c>
      <c r="H301" s="49" t="s">
        <v>692</v>
      </c>
      <c r="I301" s="49" t="s">
        <v>692</v>
      </c>
      <c r="J301" s="82">
        <f>479083.37-125.46</f>
        <v>478957.91</v>
      </c>
      <c r="K301" s="85">
        <v>0</v>
      </c>
      <c r="L301" s="82">
        <f>479083.37-125.46</f>
        <v>478957.91</v>
      </c>
      <c r="M301" s="67">
        <f>L301*0.85</f>
        <v>407114.22349999996</v>
      </c>
      <c r="N301" s="67">
        <f>L301-M301</f>
        <v>71843.686500000011</v>
      </c>
      <c r="O301" s="65">
        <v>0</v>
      </c>
      <c r="P301" s="84">
        <f t="shared" si="12"/>
        <v>1</v>
      </c>
      <c r="Q301" s="73"/>
      <c r="R301" s="73"/>
    </row>
    <row r="302" spans="1:18" customFormat="1" x14ac:dyDescent="0.3">
      <c r="A302" s="18" t="s">
        <v>421</v>
      </c>
      <c r="B302" s="18" t="s">
        <v>451</v>
      </c>
      <c r="C302" s="18">
        <v>1529987</v>
      </c>
      <c r="D302" s="18" t="s">
        <v>456</v>
      </c>
      <c r="E302" s="118" t="s">
        <v>458</v>
      </c>
      <c r="F302" s="49" t="s">
        <v>692</v>
      </c>
      <c r="G302" s="49" t="s">
        <v>692</v>
      </c>
      <c r="H302" s="49" t="s">
        <v>692</v>
      </c>
      <c r="I302" s="49" t="s">
        <v>692</v>
      </c>
      <c r="J302" s="82">
        <v>164820</v>
      </c>
      <c r="K302" s="85">
        <v>0</v>
      </c>
      <c r="L302" s="85">
        <v>164820</v>
      </c>
      <c r="M302" s="67">
        <v>140097</v>
      </c>
      <c r="N302" s="67">
        <v>24723</v>
      </c>
      <c r="O302" s="65">
        <v>0</v>
      </c>
      <c r="P302" s="84">
        <f t="shared" si="12"/>
        <v>1</v>
      </c>
      <c r="Q302" s="73"/>
      <c r="R302" s="73"/>
    </row>
    <row r="303" spans="1:18" customFormat="1" ht="28.5" customHeight="1" x14ac:dyDescent="0.3">
      <c r="A303" s="18" t="s">
        <v>421</v>
      </c>
      <c r="B303" s="18" t="s">
        <v>451</v>
      </c>
      <c r="C303" s="18">
        <v>1529987</v>
      </c>
      <c r="D303" s="18" t="s">
        <v>456</v>
      </c>
      <c r="E303" s="118" t="s">
        <v>459</v>
      </c>
      <c r="F303" s="49" t="s">
        <v>692</v>
      </c>
      <c r="G303" s="49">
        <v>13137</v>
      </c>
      <c r="H303" s="49">
        <v>2104665</v>
      </c>
      <c r="I303" s="49" t="s">
        <v>736</v>
      </c>
      <c r="J303" s="82">
        <f>173143.94-737.81</f>
        <v>172406.13</v>
      </c>
      <c r="K303" s="85">
        <f>J303-L303</f>
        <v>27310.641822228994</v>
      </c>
      <c r="L303" s="85">
        <f>145716.418177771-620.93</f>
        <v>145095.48817777101</v>
      </c>
      <c r="M303" s="67">
        <f>L303</f>
        <v>145095.48817777101</v>
      </c>
      <c r="N303" s="65">
        <v>0</v>
      </c>
      <c r="O303" s="65">
        <v>0</v>
      </c>
      <c r="P303" s="84">
        <f t="shared" si="12"/>
        <v>0.84159123679518244</v>
      </c>
      <c r="Q303" s="73"/>
      <c r="R303" s="73"/>
    </row>
    <row r="304" spans="1:18" customFormat="1" x14ac:dyDescent="0.3">
      <c r="A304" s="18" t="s">
        <v>421</v>
      </c>
      <c r="B304" s="18" t="s">
        <v>451</v>
      </c>
      <c r="C304" s="18">
        <v>1529987</v>
      </c>
      <c r="D304" s="18" t="s">
        <v>456</v>
      </c>
      <c r="E304" s="118" t="s">
        <v>460</v>
      </c>
      <c r="F304" s="49" t="s">
        <v>692</v>
      </c>
      <c r="G304" s="49" t="s">
        <v>692</v>
      </c>
      <c r="H304" s="49" t="s">
        <v>692</v>
      </c>
      <c r="I304" s="49" t="s">
        <v>692</v>
      </c>
      <c r="J304" s="82">
        <v>135375</v>
      </c>
      <c r="K304" s="85">
        <v>0</v>
      </c>
      <c r="L304" s="85">
        <v>135375</v>
      </c>
      <c r="M304" s="67">
        <v>115068.75</v>
      </c>
      <c r="N304" s="67">
        <v>20306.25</v>
      </c>
      <c r="O304" s="65">
        <v>0</v>
      </c>
      <c r="P304" s="84">
        <f t="shared" si="12"/>
        <v>1</v>
      </c>
      <c r="Q304" s="73"/>
      <c r="R304" s="73"/>
    </row>
    <row r="305" spans="1:18" customFormat="1" x14ac:dyDescent="0.3">
      <c r="A305" s="18" t="s">
        <v>421</v>
      </c>
      <c r="B305" s="18" t="s">
        <v>451</v>
      </c>
      <c r="C305" s="18">
        <v>1529987</v>
      </c>
      <c r="D305" s="18" t="s">
        <v>456</v>
      </c>
      <c r="E305" s="118" t="s">
        <v>461</v>
      </c>
      <c r="F305" s="49" t="s">
        <v>692</v>
      </c>
      <c r="G305" s="49" t="s">
        <v>692</v>
      </c>
      <c r="H305" s="49" t="s">
        <v>692</v>
      </c>
      <c r="I305" s="49" t="s">
        <v>692</v>
      </c>
      <c r="J305" s="82">
        <v>135051.4</v>
      </c>
      <c r="K305" s="85">
        <v>0</v>
      </c>
      <c r="L305" s="85">
        <v>135051.4</v>
      </c>
      <c r="M305" s="67">
        <v>114793.68999999999</v>
      </c>
      <c r="N305" s="67">
        <v>20257.710000000006</v>
      </c>
      <c r="O305" s="65">
        <v>0</v>
      </c>
      <c r="P305" s="84">
        <f t="shared" si="12"/>
        <v>1</v>
      </c>
      <c r="Q305" s="73"/>
      <c r="R305" s="73"/>
    </row>
    <row r="306" spans="1:18" customFormat="1" ht="29.55" x14ac:dyDescent="0.3">
      <c r="A306" s="18" t="s">
        <v>421</v>
      </c>
      <c r="B306" s="18" t="s">
        <v>451</v>
      </c>
      <c r="C306" s="18">
        <v>1529987</v>
      </c>
      <c r="D306" s="18" t="s">
        <v>456</v>
      </c>
      <c r="E306" s="118" t="s">
        <v>462</v>
      </c>
      <c r="F306" s="49" t="s">
        <v>692</v>
      </c>
      <c r="G306" s="49" t="s">
        <v>692</v>
      </c>
      <c r="H306" s="49" t="s">
        <v>692</v>
      </c>
      <c r="I306" s="49" t="s">
        <v>692</v>
      </c>
      <c r="J306" s="82">
        <v>61805.39</v>
      </c>
      <c r="K306" s="85">
        <v>0</v>
      </c>
      <c r="L306" s="85">
        <v>61805.39</v>
      </c>
      <c r="M306" s="67">
        <v>52534.5815</v>
      </c>
      <c r="N306" s="67">
        <v>9270.8084999999992</v>
      </c>
      <c r="O306" s="65">
        <v>0</v>
      </c>
      <c r="P306" s="84">
        <f t="shared" si="12"/>
        <v>1</v>
      </c>
      <c r="Q306" s="73"/>
      <c r="R306" s="73"/>
    </row>
    <row r="307" spans="1:18" customFormat="1" x14ac:dyDescent="0.3">
      <c r="A307" s="18" t="s">
        <v>421</v>
      </c>
      <c r="B307" s="18" t="s">
        <v>451</v>
      </c>
      <c r="C307" s="18">
        <v>1570965</v>
      </c>
      <c r="D307" s="18" t="s">
        <v>463</v>
      </c>
      <c r="E307" s="118" t="s">
        <v>464</v>
      </c>
      <c r="F307" s="18" t="s">
        <v>692</v>
      </c>
      <c r="G307" s="18" t="s">
        <v>692</v>
      </c>
      <c r="H307" s="18" t="s">
        <v>692</v>
      </c>
      <c r="I307" s="18" t="s">
        <v>692</v>
      </c>
      <c r="J307" s="82">
        <v>1000000</v>
      </c>
      <c r="K307" s="85">
        <v>0</v>
      </c>
      <c r="L307" s="85">
        <v>1000000</v>
      </c>
      <c r="M307" s="67">
        <v>850000</v>
      </c>
      <c r="N307" s="67">
        <v>150000</v>
      </c>
      <c r="O307" s="65">
        <v>0</v>
      </c>
      <c r="P307" s="84">
        <f t="shared" si="12"/>
        <v>1</v>
      </c>
      <c r="Q307" s="73"/>
      <c r="R307" s="73"/>
    </row>
    <row r="308" spans="1:18" customFormat="1" x14ac:dyDescent="0.3">
      <c r="A308" s="18" t="s">
        <v>7</v>
      </c>
      <c r="B308" s="18" t="s">
        <v>474</v>
      </c>
      <c r="C308" s="18">
        <v>499236</v>
      </c>
      <c r="D308" s="18" t="s">
        <v>475</v>
      </c>
      <c r="E308" s="131" t="s">
        <v>476</v>
      </c>
      <c r="F308" s="18" t="s">
        <v>692</v>
      </c>
      <c r="G308" s="18" t="s">
        <v>692</v>
      </c>
      <c r="H308" s="18" t="s">
        <v>692</v>
      </c>
      <c r="I308" s="18" t="s">
        <v>692</v>
      </c>
      <c r="J308" s="82">
        <v>23634.45</v>
      </c>
      <c r="K308" s="82">
        <v>0</v>
      </c>
      <c r="L308" s="82">
        <v>23634.45</v>
      </c>
      <c r="M308" s="67">
        <v>20089.282500000001</v>
      </c>
      <c r="N308" s="67">
        <v>3545.1674999999996</v>
      </c>
      <c r="O308" s="65">
        <v>0</v>
      </c>
      <c r="P308" s="84">
        <f t="shared" si="12"/>
        <v>1</v>
      </c>
      <c r="Q308" s="73"/>
      <c r="R308" s="73"/>
    </row>
    <row r="309" spans="1:18" customFormat="1" x14ac:dyDescent="0.3">
      <c r="A309" s="18" t="s">
        <v>7</v>
      </c>
      <c r="B309" s="18" t="s">
        <v>474</v>
      </c>
      <c r="C309" s="18">
        <v>499236</v>
      </c>
      <c r="D309" s="18" t="s">
        <v>475</v>
      </c>
      <c r="E309" s="131" t="s">
        <v>477</v>
      </c>
      <c r="F309" s="18" t="s">
        <v>692</v>
      </c>
      <c r="G309" s="18" t="s">
        <v>692</v>
      </c>
      <c r="H309" s="18" t="s">
        <v>692</v>
      </c>
      <c r="I309" s="18" t="s">
        <v>692</v>
      </c>
      <c r="J309" s="82">
        <v>226512.13</v>
      </c>
      <c r="K309" s="82">
        <v>33977.100000000006</v>
      </c>
      <c r="L309" s="82">
        <v>192535.03</v>
      </c>
      <c r="M309" s="67">
        <v>192535.03</v>
      </c>
      <c r="N309" s="65">
        <v>0</v>
      </c>
      <c r="O309" s="65">
        <v>0</v>
      </c>
      <c r="P309" s="84">
        <f t="shared" si="12"/>
        <v>0.8499987616557223</v>
      </c>
      <c r="Q309" s="73"/>
      <c r="R309" s="73"/>
    </row>
    <row r="310" spans="1:18" customFormat="1" x14ac:dyDescent="0.3">
      <c r="A310" s="18" t="s">
        <v>7</v>
      </c>
      <c r="B310" s="18" t="s">
        <v>474</v>
      </c>
      <c r="C310" s="18">
        <v>499236</v>
      </c>
      <c r="D310" s="18" t="s">
        <v>475</v>
      </c>
      <c r="E310" s="131" t="s">
        <v>478</v>
      </c>
      <c r="F310" s="18" t="s">
        <v>692</v>
      </c>
      <c r="G310" s="18" t="s">
        <v>692</v>
      </c>
      <c r="H310" s="18" t="s">
        <v>692</v>
      </c>
      <c r="I310" s="18" t="s">
        <v>692</v>
      </c>
      <c r="J310" s="82">
        <v>185323.7</v>
      </c>
      <c r="K310" s="82">
        <v>27798.600000000006</v>
      </c>
      <c r="L310" s="82">
        <v>157525.1</v>
      </c>
      <c r="M310" s="67">
        <v>157525.1</v>
      </c>
      <c r="N310" s="65">
        <v>0</v>
      </c>
      <c r="O310" s="65">
        <v>0</v>
      </c>
      <c r="P310" s="84">
        <f t="shared" si="12"/>
        <v>0.84999975718162324</v>
      </c>
      <c r="Q310" s="73"/>
      <c r="R310" s="73"/>
    </row>
    <row r="311" spans="1:18" customFormat="1" x14ac:dyDescent="0.3">
      <c r="A311" s="18" t="s">
        <v>7</v>
      </c>
      <c r="B311" s="18" t="s">
        <v>474</v>
      </c>
      <c r="C311" s="18">
        <v>499236</v>
      </c>
      <c r="D311" s="18" t="s">
        <v>475</v>
      </c>
      <c r="E311" s="131" t="s">
        <v>479</v>
      </c>
      <c r="F311" s="18" t="s">
        <v>692</v>
      </c>
      <c r="G311" s="18" t="s">
        <v>692</v>
      </c>
      <c r="H311" s="18" t="s">
        <v>692</v>
      </c>
      <c r="I311" s="18" t="s">
        <v>692</v>
      </c>
      <c r="J311" s="82">
        <v>227254.39</v>
      </c>
      <c r="K311" s="82">
        <v>34088.160000000003</v>
      </c>
      <c r="L311" s="82">
        <v>193166.23</v>
      </c>
      <c r="M311" s="67">
        <v>193166.23</v>
      </c>
      <c r="N311" s="65">
        <v>0</v>
      </c>
      <c r="O311" s="65">
        <v>0</v>
      </c>
      <c r="P311" s="84">
        <f t="shared" si="12"/>
        <v>0.84999999339946741</v>
      </c>
      <c r="Q311" s="73"/>
      <c r="R311" s="73"/>
    </row>
    <row r="312" spans="1:18" customFormat="1" x14ac:dyDescent="0.3">
      <c r="A312" s="18" t="s">
        <v>7</v>
      </c>
      <c r="B312" s="18" t="s">
        <v>474</v>
      </c>
      <c r="C312" s="18">
        <v>499236</v>
      </c>
      <c r="D312" s="18" t="s">
        <v>475</v>
      </c>
      <c r="E312" s="131" t="s">
        <v>480</v>
      </c>
      <c r="F312" s="18" t="s">
        <v>692</v>
      </c>
      <c r="G312" s="18" t="s">
        <v>692</v>
      </c>
      <c r="H312" s="18" t="s">
        <v>692</v>
      </c>
      <c r="I312" s="18" t="s">
        <v>692</v>
      </c>
      <c r="J312" s="82">
        <v>32716.39</v>
      </c>
      <c r="K312" s="82">
        <v>4907.4799999999996</v>
      </c>
      <c r="L312" s="82">
        <v>27808.91</v>
      </c>
      <c r="M312" s="67">
        <v>27808.91</v>
      </c>
      <c r="N312" s="65">
        <v>0</v>
      </c>
      <c r="O312" s="65">
        <v>0</v>
      </c>
      <c r="P312" s="84">
        <f t="shared" si="12"/>
        <v>0.8499993428370306</v>
      </c>
      <c r="Q312" s="73"/>
      <c r="R312" s="73"/>
    </row>
    <row r="313" spans="1:18" customFormat="1" x14ac:dyDescent="0.3">
      <c r="A313" s="18" t="s">
        <v>7</v>
      </c>
      <c r="B313" s="18" t="s">
        <v>474</v>
      </c>
      <c r="C313" s="18">
        <v>499236</v>
      </c>
      <c r="D313" s="18" t="s">
        <v>475</v>
      </c>
      <c r="E313" s="131" t="s">
        <v>367</v>
      </c>
      <c r="F313" s="18" t="s">
        <v>692</v>
      </c>
      <c r="G313" s="18" t="s">
        <v>692</v>
      </c>
      <c r="H313" s="18" t="s">
        <v>692</v>
      </c>
      <c r="I313" s="18" t="s">
        <v>692</v>
      </c>
      <c r="J313" s="82">
        <v>97180.96</v>
      </c>
      <c r="K313" s="82">
        <v>0</v>
      </c>
      <c r="L313" s="82">
        <v>97180.96</v>
      </c>
      <c r="M313" s="67">
        <v>82603.816000000006</v>
      </c>
      <c r="N313" s="67">
        <v>14577.144</v>
      </c>
      <c r="O313" s="65">
        <v>0</v>
      </c>
      <c r="P313" s="84">
        <f t="shared" si="12"/>
        <v>1</v>
      </c>
      <c r="Q313" s="73"/>
      <c r="R313" s="73"/>
    </row>
    <row r="314" spans="1:18" customFormat="1" x14ac:dyDescent="0.3">
      <c r="A314" s="18" t="s">
        <v>7</v>
      </c>
      <c r="B314" s="18" t="s">
        <v>474</v>
      </c>
      <c r="C314" s="18">
        <v>499236</v>
      </c>
      <c r="D314" s="18" t="s">
        <v>475</v>
      </c>
      <c r="E314" s="131" t="s">
        <v>481</v>
      </c>
      <c r="F314" s="18" t="s">
        <v>692</v>
      </c>
      <c r="G314" s="18" t="s">
        <v>692</v>
      </c>
      <c r="H314" s="18" t="s">
        <v>692</v>
      </c>
      <c r="I314" s="18" t="s">
        <v>692</v>
      </c>
      <c r="J314" s="82">
        <v>130979.61</v>
      </c>
      <c r="K314" s="82">
        <v>0</v>
      </c>
      <c r="L314" s="82">
        <v>130979.61</v>
      </c>
      <c r="M314" s="67">
        <v>111332.6685</v>
      </c>
      <c r="N314" s="67">
        <v>19646.941500000001</v>
      </c>
      <c r="O314" s="65">
        <v>0</v>
      </c>
      <c r="P314" s="84">
        <f t="shared" si="12"/>
        <v>1</v>
      </c>
      <c r="Q314" s="73"/>
      <c r="R314" s="73"/>
    </row>
    <row r="315" spans="1:18" customFormat="1" x14ac:dyDescent="0.3">
      <c r="A315" s="18" t="s">
        <v>7</v>
      </c>
      <c r="B315" s="18" t="s">
        <v>474</v>
      </c>
      <c r="C315" s="18">
        <v>572703</v>
      </c>
      <c r="D315" s="18" t="s">
        <v>482</v>
      </c>
      <c r="E315" s="131" t="s">
        <v>483</v>
      </c>
      <c r="F315" s="18" t="s">
        <v>692</v>
      </c>
      <c r="G315" s="18" t="s">
        <v>692</v>
      </c>
      <c r="H315" s="18" t="s">
        <v>692</v>
      </c>
      <c r="I315" s="18" t="s">
        <v>692</v>
      </c>
      <c r="J315" s="82">
        <v>224073.95</v>
      </c>
      <c r="K315" s="82">
        <v>0</v>
      </c>
      <c r="L315" s="82">
        <v>224073.95</v>
      </c>
      <c r="M315" s="67">
        <v>190462.85750000001</v>
      </c>
      <c r="N315" s="67">
        <v>33611.092499999999</v>
      </c>
      <c r="O315" s="65">
        <v>0</v>
      </c>
      <c r="P315" s="84">
        <f t="shared" si="12"/>
        <v>1</v>
      </c>
      <c r="Q315" s="73"/>
      <c r="R315" s="73"/>
    </row>
    <row r="316" spans="1:18" customFormat="1" x14ac:dyDescent="0.3">
      <c r="A316" s="18" t="s">
        <v>7</v>
      </c>
      <c r="B316" s="18" t="s">
        <v>474</v>
      </c>
      <c r="C316" s="18">
        <v>572703</v>
      </c>
      <c r="D316" s="18" t="s">
        <v>482</v>
      </c>
      <c r="E316" s="131" t="s">
        <v>484</v>
      </c>
      <c r="F316" s="18" t="s">
        <v>692</v>
      </c>
      <c r="G316" s="18" t="s">
        <v>692</v>
      </c>
      <c r="H316" s="18" t="s">
        <v>692</v>
      </c>
      <c r="I316" s="18" t="s">
        <v>692</v>
      </c>
      <c r="J316" s="82">
        <v>198864.2</v>
      </c>
      <c r="K316" s="82">
        <v>29829.630000000005</v>
      </c>
      <c r="L316" s="82">
        <v>169034.57</v>
      </c>
      <c r="M316" s="67">
        <v>169034.57</v>
      </c>
      <c r="N316" s="65">
        <v>0</v>
      </c>
      <c r="O316" s="65">
        <v>0</v>
      </c>
      <c r="P316" s="84">
        <f t="shared" si="12"/>
        <v>0.85</v>
      </c>
      <c r="Q316" s="73"/>
      <c r="R316" s="73"/>
    </row>
    <row r="317" spans="1:18" customFormat="1" ht="29.55" x14ac:dyDescent="0.3">
      <c r="A317" s="18" t="s">
        <v>7</v>
      </c>
      <c r="B317" s="18" t="s">
        <v>474</v>
      </c>
      <c r="C317" s="18">
        <v>572703</v>
      </c>
      <c r="D317" s="18" t="s">
        <v>482</v>
      </c>
      <c r="E317" s="131" t="s">
        <v>485</v>
      </c>
      <c r="F317" s="49" t="s">
        <v>692</v>
      </c>
      <c r="G317" s="49" t="s">
        <v>692</v>
      </c>
      <c r="H317" s="49" t="s">
        <v>692</v>
      </c>
      <c r="I317" s="49" t="s">
        <v>692</v>
      </c>
      <c r="J317" s="82">
        <v>119412</v>
      </c>
      <c r="K317" s="82">
        <v>17911.800000000003</v>
      </c>
      <c r="L317" s="82">
        <v>101500.2</v>
      </c>
      <c r="M317" s="67">
        <v>101500.2</v>
      </c>
      <c r="N317" s="65">
        <v>0</v>
      </c>
      <c r="O317" s="65">
        <v>0</v>
      </c>
      <c r="P317" s="84">
        <f t="shared" si="12"/>
        <v>0.85</v>
      </c>
      <c r="Q317" s="73"/>
      <c r="R317" s="73"/>
    </row>
    <row r="318" spans="1:18" customFormat="1" x14ac:dyDescent="0.3">
      <c r="A318" s="18" t="s">
        <v>7</v>
      </c>
      <c r="B318" s="18" t="s">
        <v>474</v>
      </c>
      <c r="C318" s="18">
        <v>572703</v>
      </c>
      <c r="D318" s="18" t="s">
        <v>482</v>
      </c>
      <c r="E318" s="118" t="s">
        <v>486</v>
      </c>
      <c r="F318" s="49" t="s">
        <v>692</v>
      </c>
      <c r="G318" s="49" t="s">
        <v>692</v>
      </c>
      <c r="H318" s="49" t="s">
        <v>692</v>
      </c>
      <c r="I318" s="49" t="s">
        <v>692</v>
      </c>
      <c r="J318" s="82">
        <v>1060</v>
      </c>
      <c r="K318" s="82">
        <v>159</v>
      </c>
      <c r="L318" s="82">
        <v>901</v>
      </c>
      <c r="M318" s="65">
        <v>901</v>
      </c>
      <c r="N318" s="65">
        <v>0</v>
      </c>
      <c r="O318" s="65">
        <v>0</v>
      </c>
      <c r="P318" s="84">
        <f t="shared" si="12"/>
        <v>0.85</v>
      </c>
      <c r="Q318" s="73"/>
      <c r="R318" s="73"/>
    </row>
    <row r="319" spans="1:18" customFormat="1" x14ac:dyDescent="0.3">
      <c r="A319" s="18" t="s">
        <v>7</v>
      </c>
      <c r="B319" s="18" t="s">
        <v>474</v>
      </c>
      <c r="C319" s="18">
        <v>572703</v>
      </c>
      <c r="D319" s="18" t="s">
        <v>482</v>
      </c>
      <c r="E319" s="118" t="s">
        <v>487</v>
      </c>
      <c r="F319" s="18" t="s">
        <v>692</v>
      </c>
      <c r="G319" s="18" t="s">
        <v>692</v>
      </c>
      <c r="H319" s="18" t="s">
        <v>692</v>
      </c>
      <c r="I319" s="18" t="s">
        <v>692</v>
      </c>
      <c r="J319" s="82">
        <v>100851.56999999999</v>
      </c>
      <c r="K319" s="82">
        <v>0</v>
      </c>
      <c r="L319" s="82">
        <v>100851.56999999999</v>
      </c>
      <c r="M319" s="65">
        <v>85723.834499999997</v>
      </c>
      <c r="N319" s="65">
        <v>15127.735499999995</v>
      </c>
      <c r="O319" s="65">
        <v>0</v>
      </c>
      <c r="P319" s="84">
        <f t="shared" si="12"/>
        <v>1</v>
      </c>
      <c r="Q319" s="73"/>
      <c r="R319" s="73"/>
    </row>
    <row r="320" spans="1:18" customFormat="1" x14ac:dyDescent="0.3">
      <c r="A320" s="18" t="s">
        <v>7</v>
      </c>
      <c r="B320" s="18" t="s">
        <v>474</v>
      </c>
      <c r="C320" s="18">
        <v>591611</v>
      </c>
      <c r="D320" s="18" t="s">
        <v>488</v>
      </c>
      <c r="E320" s="131" t="s">
        <v>489</v>
      </c>
      <c r="F320" s="18" t="s">
        <v>692</v>
      </c>
      <c r="G320" s="18" t="s">
        <v>692</v>
      </c>
      <c r="H320" s="18" t="s">
        <v>692</v>
      </c>
      <c r="I320" s="18" t="s">
        <v>692</v>
      </c>
      <c r="J320" s="82">
        <f>610960.8-12915.87</f>
        <v>598044.93000000005</v>
      </c>
      <c r="K320" s="82">
        <f>J320-L320</f>
        <v>0</v>
      </c>
      <c r="L320" s="82">
        <f>J320</f>
        <v>598044.93000000005</v>
      </c>
      <c r="M320" s="67">
        <f>L320*0.85</f>
        <v>508338.19050000003</v>
      </c>
      <c r="N320" s="67">
        <f>L320-M320</f>
        <v>89706.739500000025</v>
      </c>
      <c r="O320" s="65">
        <v>0</v>
      </c>
      <c r="P320" s="84">
        <f t="shared" si="12"/>
        <v>1</v>
      </c>
      <c r="Q320" s="73"/>
      <c r="R320" s="73"/>
    </row>
    <row r="321" spans="1:18" customFormat="1" x14ac:dyDescent="0.3">
      <c r="A321" s="18" t="s">
        <v>7</v>
      </c>
      <c r="B321" s="18" t="s">
        <v>474</v>
      </c>
      <c r="C321" s="18">
        <v>591611</v>
      </c>
      <c r="D321" s="18" t="s">
        <v>488</v>
      </c>
      <c r="E321" s="131" t="s">
        <v>490</v>
      </c>
      <c r="F321" s="18" t="s">
        <v>692</v>
      </c>
      <c r="G321" s="18" t="s">
        <v>692</v>
      </c>
      <c r="H321" s="18" t="s">
        <v>692</v>
      </c>
      <c r="I321" s="18" t="s">
        <v>692</v>
      </c>
      <c r="J321" s="82">
        <f>84000-388.84</f>
        <v>83611.16</v>
      </c>
      <c r="K321" s="82">
        <f>J321-L321</f>
        <v>12541.673999999999</v>
      </c>
      <c r="L321" s="82">
        <f>J321*0.85</f>
        <v>71069.486000000004</v>
      </c>
      <c r="M321" s="67">
        <f>L321</f>
        <v>71069.486000000004</v>
      </c>
      <c r="N321" s="65">
        <f>L321-M321</f>
        <v>0</v>
      </c>
      <c r="O321" s="65">
        <v>0</v>
      </c>
      <c r="P321" s="84">
        <f t="shared" si="12"/>
        <v>0.85</v>
      </c>
      <c r="Q321" s="73"/>
      <c r="R321" s="73"/>
    </row>
    <row r="322" spans="1:18" customFormat="1" ht="29.55" x14ac:dyDescent="0.3">
      <c r="A322" s="18" t="s">
        <v>7</v>
      </c>
      <c r="B322" s="18" t="s">
        <v>474</v>
      </c>
      <c r="C322" s="18">
        <v>591611</v>
      </c>
      <c r="D322" s="18" t="s">
        <v>488</v>
      </c>
      <c r="E322" s="131" t="s">
        <v>491</v>
      </c>
      <c r="F322" s="18" t="s">
        <v>692</v>
      </c>
      <c r="G322" s="18" t="s">
        <v>692</v>
      </c>
      <c r="H322" s="18" t="s">
        <v>692</v>
      </c>
      <c r="I322" s="18" t="s">
        <v>692</v>
      </c>
      <c r="J322" s="82">
        <f>99999-987.94</f>
        <v>99011.06</v>
      </c>
      <c r="K322" s="82">
        <f>J322-L322</f>
        <v>14851.659</v>
      </c>
      <c r="L322" s="82">
        <f>J322*0.85</f>
        <v>84159.400999999998</v>
      </c>
      <c r="M322" s="67">
        <f>L322</f>
        <v>84159.400999999998</v>
      </c>
      <c r="N322" s="65">
        <v>0</v>
      </c>
      <c r="O322" s="65">
        <v>0</v>
      </c>
      <c r="P322" s="84">
        <f t="shared" si="12"/>
        <v>0.85</v>
      </c>
      <c r="Q322" s="73"/>
      <c r="R322" s="73"/>
    </row>
    <row r="323" spans="1:18" customFormat="1" x14ac:dyDescent="0.3">
      <c r="A323" s="18" t="s">
        <v>7</v>
      </c>
      <c r="B323" s="18" t="s">
        <v>474</v>
      </c>
      <c r="C323" s="18">
        <v>591611</v>
      </c>
      <c r="D323" s="18" t="s">
        <v>488</v>
      </c>
      <c r="E323" s="131" t="s">
        <v>492</v>
      </c>
      <c r="F323" s="49" t="s">
        <v>692</v>
      </c>
      <c r="G323" s="49" t="s">
        <v>692</v>
      </c>
      <c r="H323" s="49" t="s">
        <v>692</v>
      </c>
      <c r="I323" s="49" t="s">
        <v>692</v>
      </c>
      <c r="J323" s="82">
        <f>165625-6293.94</f>
        <v>159331.06</v>
      </c>
      <c r="K323" s="82">
        <f>J323-L323</f>
        <v>0</v>
      </c>
      <c r="L323" s="82">
        <f>J323</f>
        <v>159331.06</v>
      </c>
      <c r="M323" s="67">
        <f>L323*0.85</f>
        <v>135431.40099999998</v>
      </c>
      <c r="N323" s="67">
        <f>L323-M323</f>
        <v>23899.659000000014</v>
      </c>
      <c r="O323" s="65">
        <v>0</v>
      </c>
      <c r="P323" s="84">
        <f t="shared" ref="P323:P386" si="13">L323/J323</f>
        <v>1</v>
      </c>
      <c r="Q323" s="73"/>
      <c r="R323" s="73"/>
    </row>
    <row r="324" spans="1:18" customFormat="1" ht="29.55" x14ac:dyDescent="0.3">
      <c r="A324" s="18" t="s">
        <v>7</v>
      </c>
      <c r="B324" s="18" t="s">
        <v>474</v>
      </c>
      <c r="C324" s="18">
        <v>490188</v>
      </c>
      <c r="D324" s="18" t="s">
        <v>493</v>
      </c>
      <c r="E324" s="118" t="s">
        <v>494</v>
      </c>
      <c r="F324" s="49" t="s">
        <v>692</v>
      </c>
      <c r="G324" s="49" t="s">
        <v>692</v>
      </c>
      <c r="H324" s="49" t="s">
        <v>692</v>
      </c>
      <c r="I324" s="49" t="s">
        <v>692</v>
      </c>
      <c r="J324" s="82">
        <v>409915</v>
      </c>
      <c r="K324" s="82">
        <v>61487.25</v>
      </c>
      <c r="L324" s="82">
        <v>348427.75</v>
      </c>
      <c r="M324" s="65">
        <v>348427.75</v>
      </c>
      <c r="N324" s="65">
        <v>0</v>
      </c>
      <c r="O324" s="65">
        <v>0</v>
      </c>
      <c r="P324" s="84">
        <f t="shared" si="13"/>
        <v>0.85</v>
      </c>
      <c r="Q324" s="73"/>
      <c r="R324" s="73"/>
    </row>
    <row r="325" spans="1:18" customFormat="1" ht="29.55" x14ac:dyDescent="0.3">
      <c r="A325" s="18" t="s">
        <v>7</v>
      </c>
      <c r="B325" s="18" t="s">
        <v>474</v>
      </c>
      <c r="C325" s="18">
        <v>490188</v>
      </c>
      <c r="D325" s="18" t="s">
        <v>493</v>
      </c>
      <c r="E325" s="118" t="s">
        <v>495</v>
      </c>
      <c r="F325" s="18" t="s">
        <v>692</v>
      </c>
      <c r="G325" s="18" t="s">
        <v>692</v>
      </c>
      <c r="H325" s="18" t="s">
        <v>692</v>
      </c>
      <c r="I325" s="18" t="s">
        <v>692</v>
      </c>
      <c r="J325" s="82">
        <v>120000</v>
      </c>
      <c r="K325" s="82">
        <v>0</v>
      </c>
      <c r="L325" s="82">
        <v>120000</v>
      </c>
      <c r="M325" s="65">
        <v>102000</v>
      </c>
      <c r="N325" s="65">
        <v>18000</v>
      </c>
      <c r="O325" s="65">
        <v>0</v>
      </c>
      <c r="P325" s="84">
        <f t="shared" si="13"/>
        <v>1</v>
      </c>
      <c r="Q325" s="73"/>
      <c r="R325" s="73"/>
    </row>
    <row r="326" spans="1:18" customFormat="1" ht="29.55" x14ac:dyDescent="0.3">
      <c r="A326" s="18" t="s">
        <v>7</v>
      </c>
      <c r="B326" s="18" t="s">
        <v>474</v>
      </c>
      <c r="C326" s="18">
        <v>490188</v>
      </c>
      <c r="D326" s="18" t="s">
        <v>493</v>
      </c>
      <c r="E326" s="131" t="s">
        <v>496</v>
      </c>
      <c r="F326" s="18" t="s">
        <v>692</v>
      </c>
      <c r="G326" s="18" t="s">
        <v>692</v>
      </c>
      <c r="H326" s="18" t="s">
        <v>692</v>
      </c>
      <c r="I326" s="18" t="s">
        <v>692</v>
      </c>
      <c r="J326" s="82">
        <v>105986.5</v>
      </c>
      <c r="K326" s="82">
        <v>15897.970000000001</v>
      </c>
      <c r="L326" s="82">
        <v>90088.53</v>
      </c>
      <c r="M326" s="67">
        <v>90088.53</v>
      </c>
      <c r="N326" s="65">
        <v>0</v>
      </c>
      <c r="O326" s="65">
        <v>0</v>
      </c>
      <c r="P326" s="84">
        <f t="shared" si="13"/>
        <v>0.85000004717581956</v>
      </c>
      <c r="Q326" s="73"/>
      <c r="R326" s="73"/>
    </row>
    <row r="327" spans="1:18" customFormat="1" ht="29.55" x14ac:dyDescent="0.3">
      <c r="A327" s="18" t="s">
        <v>7</v>
      </c>
      <c r="B327" s="18" t="s">
        <v>474</v>
      </c>
      <c r="C327" s="132">
        <v>631714</v>
      </c>
      <c r="D327" s="18" t="s">
        <v>497</v>
      </c>
      <c r="E327" s="131" t="s">
        <v>672</v>
      </c>
      <c r="F327" s="49" t="s">
        <v>692</v>
      </c>
      <c r="G327" s="49" t="s">
        <v>692</v>
      </c>
      <c r="H327" s="49" t="s">
        <v>692</v>
      </c>
      <c r="I327" s="49" t="s">
        <v>692</v>
      </c>
      <c r="J327" s="82">
        <v>1070000</v>
      </c>
      <c r="K327" s="85">
        <v>0</v>
      </c>
      <c r="L327" s="85">
        <v>1070000</v>
      </c>
      <c r="M327" s="67">
        <v>909500</v>
      </c>
      <c r="N327" s="67">
        <v>160500</v>
      </c>
      <c r="O327" s="65">
        <v>0</v>
      </c>
      <c r="P327" s="84">
        <f t="shared" si="13"/>
        <v>1</v>
      </c>
      <c r="Q327" s="73"/>
      <c r="R327" s="73"/>
    </row>
    <row r="328" spans="1:18" customFormat="1" x14ac:dyDescent="0.3">
      <c r="A328" s="18" t="s">
        <v>7</v>
      </c>
      <c r="B328" s="18" t="s">
        <v>474</v>
      </c>
      <c r="C328" s="132">
        <v>631714</v>
      </c>
      <c r="D328" s="18" t="s">
        <v>497</v>
      </c>
      <c r="E328" s="118" t="s">
        <v>498</v>
      </c>
      <c r="F328" s="18" t="s">
        <v>692</v>
      </c>
      <c r="G328" s="18" t="s">
        <v>692</v>
      </c>
      <c r="H328" s="18" t="s">
        <v>692</v>
      </c>
      <c r="I328" s="18" t="s">
        <v>692</v>
      </c>
      <c r="J328" s="82">
        <v>130000</v>
      </c>
      <c r="K328" s="85">
        <v>0</v>
      </c>
      <c r="L328" s="85">
        <v>130000</v>
      </c>
      <c r="M328" s="65">
        <v>110500</v>
      </c>
      <c r="N328" s="65">
        <v>19500</v>
      </c>
      <c r="O328" s="65">
        <v>0</v>
      </c>
      <c r="P328" s="84">
        <f t="shared" si="13"/>
        <v>1</v>
      </c>
      <c r="Q328" s="73"/>
      <c r="R328" s="73"/>
    </row>
    <row r="329" spans="1:18" customFormat="1" x14ac:dyDescent="0.3">
      <c r="A329" s="18" t="s">
        <v>7</v>
      </c>
      <c r="B329" s="18" t="s">
        <v>474</v>
      </c>
      <c r="C329" s="18">
        <v>563663</v>
      </c>
      <c r="D329" s="18" t="s">
        <v>499</v>
      </c>
      <c r="E329" s="131" t="s">
        <v>500</v>
      </c>
      <c r="F329" s="18" t="s">
        <v>692</v>
      </c>
      <c r="G329" s="18" t="s">
        <v>692</v>
      </c>
      <c r="H329" s="18" t="s">
        <v>692</v>
      </c>
      <c r="I329" s="18" t="s">
        <v>692</v>
      </c>
      <c r="J329" s="82">
        <v>420793.06</v>
      </c>
      <c r="K329" s="85">
        <v>63118.96649999998</v>
      </c>
      <c r="L329" s="85">
        <v>357674.09350000002</v>
      </c>
      <c r="M329" s="65">
        <v>357674.09350000002</v>
      </c>
      <c r="N329" s="65">
        <v>0</v>
      </c>
      <c r="O329" s="65">
        <v>0</v>
      </c>
      <c r="P329" s="84">
        <f t="shared" si="13"/>
        <v>0.84999998217651218</v>
      </c>
      <c r="Q329" s="73"/>
      <c r="R329" s="73"/>
    </row>
    <row r="330" spans="1:18" customFormat="1" x14ac:dyDescent="0.3">
      <c r="A330" s="18" t="s">
        <v>7</v>
      </c>
      <c r="B330" s="18" t="s">
        <v>474</v>
      </c>
      <c r="C330" s="18">
        <v>563663</v>
      </c>
      <c r="D330" s="18" t="s">
        <v>499</v>
      </c>
      <c r="E330" s="131" t="s">
        <v>501</v>
      </c>
      <c r="F330" s="18" t="s">
        <v>692</v>
      </c>
      <c r="G330" s="18" t="s">
        <v>692</v>
      </c>
      <c r="H330" s="18" t="s">
        <v>692</v>
      </c>
      <c r="I330" s="18" t="s">
        <v>692</v>
      </c>
      <c r="J330" s="82">
        <v>210348.00000000003</v>
      </c>
      <c r="K330" s="85">
        <v>31552.21000000005</v>
      </c>
      <c r="L330" s="85">
        <v>178795.78999999998</v>
      </c>
      <c r="M330" s="65">
        <v>178795.78999999998</v>
      </c>
      <c r="N330" s="65">
        <v>0</v>
      </c>
      <c r="O330" s="65">
        <v>0</v>
      </c>
      <c r="P330" s="84">
        <f t="shared" si="13"/>
        <v>0.84999995245973314</v>
      </c>
      <c r="Q330" s="73"/>
      <c r="R330" s="73"/>
    </row>
    <row r="331" spans="1:18" customFormat="1" x14ac:dyDescent="0.3">
      <c r="A331" s="18" t="s">
        <v>7</v>
      </c>
      <c r="B331" s="18" t="s">
        <v>474</v>
      </c>
      <c r="C331" s="18">
        <v>563663</v>
      </c>
      <c r="D331" s="18" t="s">
        <v>499</v>
      </c>
      <c r="E331" s="131" t="s">
        <v>502</v>
      </c>
      <c r="F331" s="18" t="s">
        <v>692</v>
      </c>
      <c r="G331" s="18" t="s">
        <v>692</v>
      </c>
      <c r="H331" s="18" t="s">
        <v>692</v>
      </c>
      <c r="I331" s="18" t="s">
        <v>692</v>
      </c>
      <c r="J331" s="82">
        <v>238203.42</v>
      </c>
      <c r="K331" s="85">
        <v>35730.510000000038</v>
      </c>
      <c r="L331" s="85">
        <v>202472.90999999997</v>
      </c>
      <c r="M331" s="65">
        <v>202472.90999999997</v>
      </c>
      <c r="N331" s="65">
        <v>0</v>
      </c>
      <c r="O331" s="65">
        <v>0</v>
      </c>
      <c r="P331" s="84">
        <f t="shared" si="13"/>
        <v>0.85000001259427749</v>
      </c>
      <c r="Q331" s="73"/>
      <c r="R331" s="73"/>
    </row>
    <row r="332" spans="1:18" customFormat="1" x14ac:dyDescent="0.3">
      <c r="A332" s="18" t="s">
        <v>7</v>
      </c>
      <c r="B332" s="18" t="s">
        <v>474</v>
      </c>
      <c r="C332" s="18">
        <v>563663</v>
      </c>
      <c r="D332" s="18" t="s">
        <v>499</v>
      </c>
      <c r="E332" s="131" t="s">
        <v>503</v>
      </c>
      <c r="F332" s="18" t="s">
        <v>692</v>
      </c>
      <c r="G332" s="18" t="s">
        <v>692</v>
      </c>
      <c r="H332" s="18" t="s">
        <v>692</v>
      </c>
      <c r="I332" s="18" t="s">
        <v>692</v>
      </c>
      <c r="J332" s="82">
        <v>23934.129999999997</v>
      </c>
      <c r="K332" s="85">
        <v>0</v>
      </c>
      <c r="L332" s="85">
        <v>23934.129999999997</v>
      </c>
      <c r="M332" s="65">
        <v>20344.010499999997</v>
      </c>
      <c r="N332" s="65">
        <v>3590.1195000000007</v>
      </c>
      <c r="O332" s="65">
        <v>0</v>
      </c>
      <c r="P332" s="84">
        <f t="shared" si="13"/>
        <v>1</v>
      </c>
      <c r="Q332" s="73"/>
      <c r="R332" s="73"/>
    </row>
    <row r="333" spans="1:18" customFormat="1" x14ac:dyDescent="0.3">
      <c r="A333" s="18" t="s">
        <v>7</v>
      </c>
      <c r="B333" s="18" t="s">
        <v>474</v>
      </c>
      <c r="C333" s="18">
        <v>563663</v>
      </c>
      <c r="D333" s="18" t="s">
        <v>499</v>
      </c>
      <c r="E333" s="131" t="s">
        <v>504</v>
      </c>
      <c r="F333" s="49" t="s">
        <v>692</v>
      </c>
      <c r="G333" s="49" t="s">
        <v>692</v>
      </c>
      <c r="H333" s="49" t="s">
        <v>692</v>
      </c>
      <c r="I333" s="49" t="s">
        <v>692</v>
      </c>
      <c r="J333" s="82">
        <v>26615.59</v>
      </c>
      <c r="K333" s="85">
        <v>0</v>
      </c>
      <c r="L333" s="85">
        <v>26615.59</v>
      </c>
      <c r="M333" s="65">
        <v>22623.251499999998</v>
      </c>
      <c r="N333" s="65">
        <v>3992.3385000000017</v>
      </c>
      <c r="O333" s="65">
        <v>0</v>
      </c>
      <c r="P333" s="84">
        <f t="shared" si="13"/>
        <v>1</v>
      </c>
      <c r="Q333" s="73"/>
      <c r="R333" s="73"/>
    </row>
    <row r="334" spans="1:18" customFormat="1" ht="29.55" x14ac:dyDescent="0.3">
      <c r="A334" s="18" t="s">
        <v>7</v>
      </c>
      <c r="B334" s="18" t="s">
        <v>474</v>
      </c>
      <c r="C334" s="18">
        <v>563663</v>
      </c>
      <c r="D334" s="18" t="s">
        <v>499</v>
      </c>
      <c r="E334" s="118" t="s">
        <v>495</v>
      </c>
      <c r="F334" s="18" t="s">
        <v>692</v>
      </c>
      <c r="G334" s="18" t="s">
        <v>692</v>
      </c>
      <c r="H334" s="18" t="s">
        <v>692</v>
      </c>
      <c r="I334" s="18" t="s">
        <v>692</v>
      </c>
      <c r="J334" s="82">
        <f>21745.11-1190.72</f>
        <v>20554.39</v>
      </c>
      <c r="K334" s="85">
        <v>0</v>
      </c>
      <c r="L334" s="82">
        <f>21745.11-1190.72</f>
        <v>20554.39</v>
      </c>
      <c r="M334" s="65">
        <f>L334*0.85</f>
        <v>17471.231499999998</v>
      </c>
      <c r="N334" s="65">
        <f>L334-M334</f>
        <v>3083.1585000000014</v>
      </c>
      <c r="O334" s="65">
        <v>0</v>
      </c>
      <c r="P334" s="84">
        <f t="shared" si="13"/>
        <v>1</v>
      </c>
      <c r="Q334" s="73"/>
      <c r="R334" s="73"/>
    </row>
    <row r="335" spans="1:18" customFormat="1" x14ac:dyDescent="0.3">
      <c r="A335" s="18" t="s">
        <v>7</v>
      </c>
      <c r="B335" s="18" t="s">
        <v>474</v>
      </c>
      <c r="C335" s="18">
        <v>563663</v>
      </c>
      <c r="D335" s="18" t="s">
        <v>499</v>
      </c>
      <c r="E335" s="131" t="s">
        <v>505</v>
      </c>
      <c r="F335" s="18" t="s">
        <v>692</v>
      </c>
      <c r="G335" s="18" t="s">
        <v>692</v>
      </c>
      <c r="H335" s="18" t="s">
        <v>692</v>
      </c>
      <c r="I335" s="18" t="s">
        <v>692</v>
      </c>
      <c r="J335" s="82">
        <v>35069.54</v>
      </c>
      <c r="K335" s="85">
        <v>5260.48</v>
      </c>
      <c r="L335" s="85">
        <v>29809.06</v>
      </c>
      <c r="M335" s="65">
        <v>29809.06</v>
      </c>
      <c r="N335" s="65">
        <v>0</v>
      </c>
      <c r="O335" s="65">
        <v>0</v>
      </c>
      <c r="P335" s="84">
        <f t="shared" si="13"/>
        <v>0.8499986027760843</v>
      </c>
      <c r="Q335" s="73"/>
      <c r="R335" s="73"/>
    </row>
    <row r="336" spans="1:18" customFormat="1" x14ac:dyDescent="0.3">
      <c r="A336" s="18" t="s">
        <v>7</v>
      </c>
      <c r="B336" s="18" t="s">
        <v>474</v>
      </c>
      <c r="C336" s="18">
        <v>563663</v>
      </c>
      <c r="D336" s="18" t="s">
        <v>499</v>
      </c>
      <c r="E336" s="131" t="s">
        <v>506</v>
      </c>
      <c r="F336" s="18" t="s">
        <v>692</v>
      </c>
      <c r="G336" s="18" t="s">
        <v>692</v>
      </c>
      <c r="H336" s="18" t="s">
        <v>692</v>
      </c>
      <c r="I336" s="18" t="s">
        <v>692</v>
      </c>
      <c r="J336" s="82">
        <v>104418.67000000001</v>
      </c>
      <c r="K336" s="85">
        <v>15662.570000000007</v>
      </c>
      <c r="L336" s="85">
        <v>88756.1</v>
      </c>
      <c r="M336" s="65">
        <v>88756.1</v>
      </c>
      <c r="N336" s="65">
        <v>0</v>
      </c>
      <c r="O336" s="65">
        <v>0</v>
      </c>
      <c r="P336" s="84">
        <f t="shared" si="13"/>
        <v>0.85000220745964294</v>
      </c>
      <c r="Q336" s="73"/>
      <c r="R336" s="73"/>
    </row>
    <row r="337" spans="1:18" customFormat="1" x14ac:dyDescent="0.3">
      <c r="A337" s="18" t="s">
        <v>7</v>
      </c>
      <c r="B337" s="18" t="s">
        <v>474</v>
      </c>
      <c r="C337" s="18">
        <v>563663</v>
      </c>
      <c r="D337" s="18" t="s">
        <v>499</v>
      </c>
      <c r="E337" s="131" t="s">
        <v>507</v>
      </c>
      <c r="F337" s="49" t="s">
        <v>692</v>
      </c>
      <c r="G337" s="49" t="s">
        <v>692</v>
      </c>
      <c r="H337" s="49" t="s">
        <v>692</v>
      </c>
      <c r="I337" s="49" t="s">
        <v>692</v>
      </c>
      <c r="J337" s="82">
        <v>9974.61</v>
      </c>
      <c r="K337" s="85">
        <v>0</v>
      </c>
      <c r="L337" s="85">
        <v>9974.61</v>
      </c>
      <c r="M337" s="65">
        <v>8478.4184999999998</v>
      </c>
      <c r="N337" s="65">
        <v>1496.1915000000008</v>
      </c>
      <c r="O337" s="65">
        <v>0</v>
      </c>
      <c r="P337" s="84">
        <f t="shared" si="13"/>
        <v>1</v>
      </c>
      <c r="Q337" s="73"/>
      <c r="R337" s="73"/>
    </row>
    <row r="338" spans="1:18" customFormat="1" x14ac:dyDescent="0.3">
      <c r="A338" s="18" t="s">
        <v>7</v>
      </c>
      <c r="B338" s="18" t="s">
        <v>474</v>
      </c>
      <c r="C338" s="18">
        <v>506686</v>
      </c>
      <c r="D338" s="18" t="s">
        <v>508</v>
      </c>
      <c r="E338" s="118" t="s">
        <v>509</v>
      </c>
      <c r="F338" s="49" t="s">
        <v>692</v>
      </c>
      <c r="G338" s="49" t="s">
        <v>692</v>
      </c>
      <c r="H338" s="49" t="s">
        <v>692</v>
      </c>
      <c r="I338" s="49" t="s">
        <v>692</v>
      </c>
      <c r="J338" s="82">
        <v>227361.69999999998</v>
      </c>
      <c r="K338" s="85">
        <v>0</v>
      </c>
      <c r="L338" s="85">
        <v>227361.69999999998</v>
      </c>
      <c r="M338" s="65">
        <v>193257.45</v>
      </c>
      <c r="N338" s="65">
        <f>L338-M338</f>
        <v>34104.249999999971</v>
      </c>
      <c r="O338" s="65">
        <v>0</v>
      </c>
      <c r="P338" s="84">
        <f t="shared" si="13"/>
        <v>1</v>
      </c>
      <c r="Q338" s="73"/>
      <c r="R338" s="73"/>
    </row>
    <row r="339" spans="1:18" customFormat="1" x14ac:dyDescent="0.3">
      <c r="A339" s="18" t="s">
        <v>7</v>
      </c>
      <c r="B339" s="18" t="s">
        <v>474</v>
      </c>
      <c r="C339" s="18">
        <v>506686</v>
      </c>
      <c r="D339" s="18" t="s">
        <v>508</v>
      </c>
      <c r="E339" s="118" t="s">
        <v>510</v>
      </c>
      <c r="F339" s="49" t="s">
        <v>692</v>
      </c>
      <c r="G339" s="49" t="s">
        <v>692</v>
      </c>
      <c r="H339" s="49" t="s">
        <v>692</v>
      </c>
      <c r="I339" s="49" t="s">
        <v>692</v>
      </c>
      <c r="J339" s="82">
        <v>52436.68</v>
      </c>
      <c r="K339" s="85">
        <v>7865.5019999999995</v>
      </c>
      <c r="L339" s="85">
        <v>44571.178</v>
      </c>
      <c r="M339" s="65">
        <v>44571.178</v>
      </c>
      <c r="N339" s="65">
        <v>0</v>
      </c>
      <c r="O339" s="65">
        <v>0</v>
      </c>
      <c r="P339" s="84">
        <f t="shared" si="13"/>
        <v>0.85</v>
      </c>
      <c r="Q339" s="73"/>
      <c r="R339" s="73"/>
    </row>
    <row r="340" spans="1:18" customFormat="1" x14ac:dyDescent="0.3">
      <c r="A340" s="18" t="s">
        <v>7</v>
      </c>
      <c r="B340" s="18" t="s">
        <v>474</v>
      </c>
      <c r="C340" s="18">
        <v>506686</v>
      </c>
      <c r="D340" s="18" t="s">
        <v>508</v>
      </c>
      <c r="E340" s="118" t="s">
        <v>511</v>
      </c>
      <c r="F340" s="49" t="s">
        <v>692</v>
      </c>
      <c r="G340" s="49" t="s">
        <v>692</v>
      </c>
      <c r="H340" s="49" t="s">
        <v>692</v>
      </c>
      <c r="I340" s="49" t="s">
        <v>692</v>
      </c>
      <c r="J340" s="82">
        <v>73669.320000000022</v>
      </c>
      <c r="K340" s="85">
        <v>11050.398000000003</v>
      </c>
      <c r="L340" s="85">
        <v>62618.922000000013</v>
      </c>
      <c r="M340" s="65">
        <v>62618.922000000013</v>
      </c>
      <c r="N340" s="65">
        <v>0</v>
      </c>
      <c r="O340" s="65">
        <v>0</v>
      </c>
      <c r="P340" s="84">
        <f t="shared" si="13"/>
        <v>0.85</v>
      </c>
      <c r="Q340" s="73"/>
      <c r="R340" s="73"/>
    </row>
    <row r="341" spans="1:18" customFormat="1" x14ac:dyDescent="0.3">
      <c r="A341" s="18" t="s">
        <v>7</v>
      </c>
      <c r="B341" s="18" t="s">
        <v>474</v>
      </c>
      <c r="C341" s="18">
        <v>506686</v>
      </c>
      <c r="D341" s="18" t="s">
        <v>508</v>
      </c>
      <c r="E341" s="118" t="s">
        <v>512</v>
      </c>
      <c r="F341" s="49" t="s">
        <v>692</v>
      </c>
      <c r="G341" s="49" t="s">
        <v>692</v>
      </c>
      <c r="H341" s="49" t="s">
        <v>692</v>
      </c>
      <c r="I341" s="49" t="s">
        <v>692</v>
      </c>
      <c r="J341" s="82">
        <v>186493.59000000003</v>
      </c>
      <c r="K341" s="85">
        <v>27974.038500000002</v>
      </c>
      <c r="L341" s="85">
        <v>158519.55150000003</v>
      </c>
      <c r="M341" s="65">
        <v>158519.55150000003</v>
      </c>
      <c r="N341" s="65">
        <v>0</v>
      </c>
      <c r="O341" s="65">
        <v>0</v>
      </c>
      <c r="P341" s="84">
        <f t="shared" si="13"/>
        <v>0.85000000000000009</v>
      </c>
      <c r="Q341" s="73"/>
      <c r="R341" s="73"/>
    </row>
    <row r="342" spans="1:18" customFormat="1" x14ac:dyDescent="0.3">
      <c r="A342" s="18" t="s">
        <v>7</v>
      </c>
      <c r="B342" s="18" t="s">
        <v>474</v>
      </c>
      <c r="C342" s="18">
        <v>506686</v>
      </c>
      <c r="D342" s="18" t="s">
        <v>508</v>
      </c>
      <c r="E342" s="118" t="s">
        <v>513</v>
      </c>
      <c r="F342" s="49" t="s">
        <v>692</v>
      </c>
      <c r="G342" s="49" t="s">
        <v>692</v>
      </c>
      <c r="H342" s="49" t="s">
        <v>692</v>
      </c>
      <c r="I342" s="49" t="s">
        <v>692</v>
      </c>
      <c r="J342" s="82">
        <v>381482.59</v>
      </c>
      <c r="K342" s="85">
        <v>0</v>
      </c>
      <c r="L342" s="85">
        <v>381482.59</v>
      </c>
      <c r="M342" s="65">
        <v>324260.20150000002</v>
      </c>
      <c r="N342" s="65">
        <v>57222.388500000001</v>
      </c>
      <c r="O342" s="65">
        <v>0</v>
      </c>
      <c r="P342" s="84">
        <f t="shared" si="13"/>
        <v>1</v>
      </c>
      <c r="Q342" s="73"/>
      <c r="R342" s="73"/>
    </row>
    <row r="343" spans="1:18" customFormat="1" x14ac:dyDescent="0.3">
      <c r="A343" s="18" t="s">
        <v>7</v>
      </c>
      <c r="B343" s="18" t="s">
        <v>474</v>
      </c>
      <c r="C343" s="132">
        <v>581511</v>
      </c>
      <c r="D343" s="18" t="s">
        <v>514</v>
      </c>
      <c r="E343" s="118" t="s">
        <v>515</v>
      </c>
      <c r="F343" s="18" t="s">
        <v>692</v>
      </c>
      <c r="G343" s="18" t="s">
        <v>692</v>
      </c>
      <c r="H343" s="18" t="s">
        <v>692</v>
      </c>
      <c r="I343" s="18" t="s">
        <v>692</v>
      </c>
      <c r="J343" s="82">
        <v>582005</v>
      </c>
      <c r="K343" s="85">
        <v>0</v>
      </c>
      <c r="L343" s="85">
        <v>582005</v>
      </c>
      <c r="M343" s="65">
        <v>494704.25</v>
      </c>
      <c r="N343" s="65">
        <v>87300.75</v>
      </c>
      <c r="O343" s="65">
        <v>0</v>
      </c>
      <c r="P343" s="84">
        <f t="shared" si="13"/>
        <v>1</v>
      </c>
      <c r="Q343" s="73"/>
      <c r="R343" s="73"/>
    </row>
    <row r="344" spans="1:18" customFormat="1" x14ac:dyDescent="0.3">
      <c r="A344" s="18" t="s">
        <v>421</v>
      </c>
      <c r="B344" s="18" t="s">
        <v>474</v>
      </c>
      <c r="C344" s="132">
        <v>1418951</v>
      </c>
      <c r="D344" s="18" t="s">
        <v>516</v>
      </c>
      <c r="E344" s="131" t="s">
        <v>501</v>
      </c>
      <c r="F344" s="18" t="s">
        <v>692</v>
      </c>
      <c r="G344" s="18" t="s">
        <v>692</v>
      </c>
      <c r="H344" s="18" t="s">
        <v>692</v>
      </c>
      <c r="I344" s="18" t="s">
        <v>692</v>
      </c>
      <c r="J344" s="82">
        <f>340952.16+154.36</f>
        <v>341106.51999999996</v>
      </c>
      <c r="K344" s="121">
        <f>J344-L344</f>
        <v>51165.969999999914</v>
      </c>
      <c r="L344" s="121">
        <f>289809.34+131.21</f>
        <v>289940.55000000005</v>
      </c>
      <c r="M344" s="65">
        <f>L344</f>
        <v>289940.55000000005</v>
      </c>
      <c r="N344" s="65">
        <v>0</v>
      </c>
      <c r="O344" s="65">
        <v>0</v>
      </c>
      <c r="P344" s="84">
        <f t="shared" si="13"/>
        <v>0.85000002345308467</v>
      </c>
      <c r="Q344" s="73"/>
      <c r="R344" s="73"/>
    </row>
    <row r="345" spans="1:18" customFormat="1" x14ac:dyDescent="0.3">
      <c r="A345" s="18" t="s">
        <v>421</v>
      </c>
      <c r="B345" s="18" t="s">
        <v>474</v>
      </c>
      <c r="C345" s="132">
        <v>1418951</v>
      </c>
      <c r="D345" s="18" t="s">
        <v>516</v>
      </c>
      <c r="E345" s="131" t="s">
        <v>502</v>
      </c>
      <c r="F345" s="49" t="s">
        <v>692</v>
      </c>
      <c r="G345" s="49" t="s">
        <v>692</v>
      </c>
      <c r="H345" s="49" t="s">
        <v>692</v>
      </c>
      <c r="I345" s="49" t="s">
        <v>692</v>
      </c>
      <c r="J345" s="82">
        <f>236000+1023.12</f>
        <v>237023.12</v>
      </c>
      <c r="K345" s="121">
        <f>J345-L345</f>
        <v>35553.459999999992</v>
      </c>
      <c r="L345" s="121">
        <f>200600+869.66</f>
        <v>201469.66</v>
      </c>
      <c r="M345" s="65">
        <f>L345</f>
        <v>201469.66</v>
      </c>
      <c r="N345" s="65">
        <v>0</v>
      </c>
      <c r="O345" s="65">
        <v>0</v>
      </c>
      <c r="P345" s="84">
        <f t="shared" si="13"/>
        <v>0.85000003375198174</v>
      </c>
      <c r="Q345" s="73"/>
      <c r="R345" s="73"/>
    </row>
    <row r="346" spans="1:18" customFormat="1" x14ac:dyDescent="0.3">
      <c r="A346" s="18" t="s">
        <v>421</v>
      </c>
      <c r="B346" s="18" t="s">
        <v>474</v>
      </c>
      <c r="C346" s="132">
        <v>1418951</v>
      </c>
      <c r="D346" s="18" t="s">
        <v>516</v>
      </c>
      <c r="E346" s="118" t="s">
        <v>517</v>
      </c>
      <c r="F346" s="49" t="s">
        <v>692</v>
      </c>
      <c r="G346" s="49" t="s">
        <v>692</v>
      </c>
      <c r="H346" s="49" t="s">
        <v>692</v>
      </c>
      <c r="I346" s="49" t="s">
        <v>692</v>
      </c>
      <c r="J346" s="82">
        <v>0</v>
      </c>
      <c r="K346" s="121">
        <v>0</v>
      </c>
      <c r="L346" s="121">
        <v>0</v>
      </c>
      <c r="M346" s="65">
        <v>0</v>
      </c>
      <c r="N346" s="65">
        <v>0</v>
      </c>
      <c r="O346" s="65">
        <v>0</v>
      </c>
      <c r="P346" s="84" t="e">
        <f t="shared" si="13"/>
        <v>#DIV/0!</v>
      </c>
      <c r="Q346" s="73"/>
      <c r="R346" s="73"/>
    </row>
    <row r="347" spans="1:18" customFormat="1" x14ac:dyDescent="0.3">
      <c r="A347" s="18" t="s">
        <v>421</v>
      </c>
      <c r="B347" s="18" t="s">
        <v>474</v>
      </c>
      <c r="C347" s="132">
        <v>1418951</v>
      </c>
      <c r="D347" s="18" t="s">
        <v>516</v>
      </c>
      <c r="E347" s="118" t="s">
        <v>518</v>
      </c>
      <c r="F347" s="49" t="s">
        <v>692</v>
      </c>
      <c r="G347" s="49">
        <v>13137</v>
      </c>
      <c r="H347" s="49">
        <v>2066279</v>
      </c>
      <c r="I347" s="49">
        <v>1214594</v>
      </c>
      <c r="J347" s="82">
        <f>42000-3695.7</f>
        <v>38304.300000000003</v>
      </c>
      <c r="K347" s="121">
        <f>J347-L347</f>
        <v>5745.6600000000035</v>
      </c>
      <c r="L347" s="121">
        <f>35700-3141.36</f>
        <v>32558.639999999999</v>
      </c>
      <c r="M347" s="65">
        <f>L347</f>
        <v>32558.639999999999</v>
      </c>
      <c r="N347" s="65">
        <v>0</v>
      </c>
      <c r="O347" s="65">
        <v>0</v>
      </c>
      <c r="P347" s="84">
        <f t="shared" si="13"/>
        <v>0.84999960839905697</v>
      </c>
      <c r="Q347" s="73"/>
      <c r="R347" s="73"/>
    </row>
    <row r="348" spans="1:18" customFormat="1" x14ac:dyDescent="0.3">
      <c r="A348" s="18" t="s">
        <v>421</v>
      </c>
      <c r="B348" s="18" t="s">
        <v>474</v>
      </c>
      <c r="C348" s="132">
        <v>1418951</v>
      </c>
      <c r="D348" s="18" t="s">
        <v>516</v>
      </c>
      <c r="E348" s="118" t="s">
        <v>519</v>
      </c>
      <c r="F348" s="49" t="s">
        <v>692</v>
      </c>
      <c r="G348" s="49" t="s">
        <v>692</v>
      </c>
      <c r="H348" s="49" t="s">
        <v>692</v>
      </c>
      <c r="I348" s="49" t="s">
        <v>692</v>
      </c>
      <c r="J348" s="82">
        <v>0</v>
      </c>
      <c r="K348" s="85">
        <v>0</v>
      </c>
      <c r="L348" s="121">
        <v>0</v>
      </c>
      <c r="M348" s="65">
        <v>0</v>
      </c>
      <c r="N348" s="65">
        <v>0</v>
      </c>
      <c r="O348" s="65">
        <v>0</v>
      </c>
      <c r="P348" s="84" t="e">
        <f t="shared" si="13"/>
        <v>#DIV/0!</v>
      </c>
      <c r="Q348" s="73"/>
      <c r="R348" s="73"/>
    </row>
    <row r="349" spans="1:18" customFormat="1" ht="29.55" x14ac:dyDescent="0.3">
      <c r="A349" s="18" t="s">
        <v>421</v>
      </c>
      <c r="B349" s="18" t="s">
        <v>474</v>
      </c>
      <c r="C349" s="132">
        <v>1418951</v>
      </c>
      <c r="D349" s="18" t="s">
        <v>516</v>
      </c>
      <c r="E349" s="118" t="s">
        <v>520</v>
      </c>
      <c r="F349" s="49" t="s">
        <v>692</v>
      </c>
      <c r="G349" s="49" t="s">
        <v>692</v>
      </c>
      <c r="H349" s="49" t="s">
        <v>692</v>
      </c>
      <c r="I349" s="49" t="s">
        <v>692</v>
      </c>
      <c r="J349" s="82">
        <f>115072+3216.81</f>
        <v>118288.81</v>
      </c>
      <c r="K349" s="121">
        <f>J349-L349</f>
        <v>17743.300000000003</v>
      </c>
      <c r="L349" s="121">
        <f>97811.2+2734.31</f>
        <v>100545.51</v>
      </c>
      <c r="M349" s="65">
        <f>L349</f>
        <v>100545.51</v>
      </c>
      <c r="N349" s="65">
        <v>0</v>
      </c>
      <c r="O349" s="65">
        <v>0</v>
      </c>
      <c r="P349" s="84">
        <f t="shared" si="13"/>
        <v>0.85000018175852809</v>
      </c>
      <c r="Q349" s="73"/>
      <c r="R349" s="73"/>
    </row>
    <row r="350" spans="1:18" customFormat="1" x14ac:dyDescent="0.3">
      <c r="A350" s="18" t="s">
        <v>421</v>
      </c>
      <c r="B350" s="18" t="s">
        <v>474</v>
      </c>
      <c r="C350" s="132">
        <v>1418951</v>
      </c>
      <c r="D350" s="18" t="s">
        <v>516</v>
      </c>
      <c r="E350" s="118" t="s">
        <v>521</v>
      </c>
      <c r="F350" s="49" t="s">
        <v>692</v>
      </c>
      <c r="G350" s="49" t="s">
        <v>692</v>
      </c>
      <c r="H350" s="49" t="s">
        <v>692</v>
      </c>
      <c r="I350" s="49" t="s">
        <v>692</v>
      </c>
      <c r="J350" s="82">
        <f>42000-698.6</f>
        <v>41301.4</v>
      </c>
      <c r="K350" s="121">
        <f>J350-L350</f>
        <v>6195.2200000000012</v>
      </c>
      <c r="L350" s="121">
        <f>35700-593.82</f>
        <v>35106.18</v>
      </c>
      <c r="M350" s="65">
        <f>L350</f>
        <v>35106.18</v>
      </c>
      <c r="N350" s="65">
        <v>0</v>
      </c>
      <c r="O350" s="65">
        <v>0</v>
      </c>
      <c r="P350" s="84">
        <f t="shared" si="13"/>
        <v>0.84999975787745696</v>
      </c>
      <c r="Q350" s="73"/>
      <c r="R350" s="73"/>
    </row>
    <row r="351" spans="1:18" customFormat="1" x14ac:dyDescent="0.3">
      <c r="A351" s="18" t="s">
        <v>421</v>
      </c>
      <c r="B351" s="18" t="s">
        <v>474</v>
      </c>
      <c r="C351" s="132">
        <v>1441882</v>
      </c>
      <c r="D351" s="18" t="s">
        <v>522</v>
      </c>
      <c r="E351" s="118" t="s">
        <v>523</v>
      </c>
      <c r="F351" s="49" t="s">
        <v>692</v>
      </c>
      <c r="G351" s="49" t="s">
        <v>692</v>
      </c>
      <c r="H351" s="49" t="s">
        <v>692</v>
      </c>
      <c r="I351" s="49" t="s">
        <v>692</v>
      </c>
      <c r="J351" s="82">
        <v>501802</v>
      </c>
      <c r="K351" s="85">
        <v>0</v>
      </c>
      <c r="L351" s="85">
        <v>501802</v>
      </c>
      <c r="M351" s="65">
        <v>426531.7</v>
      </c>
      <c r="N351" s="65">
        <v>75270.299999999988</v>
      </c>
      <c r="O351" s="65">
        <v>0</v>
      </c>
      <c r="P351" s="84">
        <f t="shared" si="13"/>
        <v>1</v>
      </c>
      <c r="Q351" s="73"/>
      <c r="R351" s="73"/>
    </row>
    <row r="352" spans="1:18" customFormat="1" ht="29.55" x14ac:dyDescent="0.3">
      <c r="A352" s="18" t="s">
        <v>421</v>
      </c>
      <c r="B352" s="18" t="s">
        <v>474</v>
      </c>
      <c r="C352" s="132">
        <v>1441882</v>
      </c>
      <c r="D352" s="18" t="s">
        <v>522</v>
      </c>
      <c r="E352" s="118" t="s">
        <v>524</v>
      </c>
      <c r="F352" s="49" t="s">
        <v>692</v>
      </c>
      <c r="G352" s="49" t="s">
        <v>692</v>
      </c>
      <c r="H352" s="49" t="s">
        <v>692</v>
      </c>
      <c r="I352" s="49" t="s">
        <v>692</v>
      </c>
      <c r="J352" s="82">
        <v>49770.720000000001</v>
      </c>
      <c r="K352" s="85">
        <v>0</v>
      </c>
      <c r="L352" s="85">
        <v>49770.720000000001</v>
      </c>
      <c r="M352" s="65">
        <v>42305.112000000001</v>
      </c>
      <c r="N352" s="65">
        <v>7465.6080000000002</v>
      </c>
      <c r="O352" s="65">
        <v>0</v>
      </c>
      <c r="P352" s="84">
        <f t="shared" si="13"/>
        <v>1</v>
      </c>
      <c r="Q352" s="73"/>
      <c r="R352" s="73"/>
    </row>
    <row r="353" spans="1:18" customFormat="1" x14ac:dyDescent="0.3">
      <c r="A353" s="18" t="s">
        <v>421</v>
      </c>
      <c r="B353" s="18" t="s">
        <v>474</v>
      </c>
      <c r="C353" s="132">
        <v>1441882</v>
      </c>
      <c r="D353" s="18" t="s">
        <v>522</v>
      </c>
      <c r="E353" s="118" t="s">
        <v>525</v>
      </c>
      <c r="F353" s="49" t="s">
        <v>692</v>
      </c>
      <c r="G353" s="49" t="s">
        <v>692</v>
      </c>
      <c r="H353" s="49" t="s">
        <v>692</v>
      </c>
      <c r="I353" s="49" t="s">
        <v>692</v>
      </c>
      <c r="J353" s="82">
        <f>93590-16336.55</f>
        <v>77253.45</v>
      </c>
      <c r="K353" s="85">
        <v>0</v>
      </c>
      <c r="L353" s="82">
        <f>93590-16336.55</f>
        <v>77253.45</v>
      </c>
      <c r="M353" s="65">
        <f>L353*0.85</f>
        <v>65665.432499999995</v>
      </c>
      <c r="N353" s="65">
        <f>L353-M353</f>
        <v>11588.017500000002</v>
      </c>
      <c r="O353" s="65">
        <v>0</v>
      </c>
      <c r="P353" s="84">
        <f t="shared" si="13"/>
        <v>1</v>
      </c>
      <c r="Q353" s="73"/>
      <c r="R353" s="73"/>
    </row>
    <row r="354" spans="1:18" customFormat="1" x14ac:dyDescent="0.3">
      <c r="A354" s="18" t="s">
        <v>421</v>
      </c>
      <c r="B354" s="18" t="s">
        <v>474</v>
      </c>
      <c r="C354" s="132">
        <v>1441882</v>
      </c>
      <c r="D354" s="18" t="s">
        <v>522</v>
      </c>
      <c r="E354" s="118" t="s">
        <v>460</v>
      </c>
      <c r="F354" s="49" t="s">
        <v>692</v>
      </c>
      <c r="G354" s="49" t="s">
        <v>692</v>
      </c>
      <c r="H354" s="49" t="s">
        <v>692</v>
      </c>
      <c r="I354" s="49" t="s">
        <v>692</v>
      </c>
      <c r="J354" s="82">
        <v>83815.27</v>
      </c>
      <c r="K354" s="85">
        <v>0</v>
      </c>
      <c r="L354" s="85">
        <v>83815.27</v>
      </c>
      <c r="M354" s="65">
        <v>71242.979500000001</v>
      </c>
      <c r="N354" s="65">
        <v>12572.290500000003</v>
      </c>
      <c r="O354" s="65">
        <v>0</v>
      </c>
      <c r="P354" s="84">
        <f t="shared" si="13"/>
        <v>1</v>
      </c>
      <c r="Q354" s="73"/>
      <c r="R354" s="73"/>
    </row>
    <row r="355" spans="1:18" customFormat="1" x14ac:dyDescent="0.3">
      <c r="A355" s="18" t="s">
        <v>421</v>
      </c>
      <c r="B355" s="18" t="s">
        <v>474</v>
      </c>
      <c r="C355" s="132">
        <v>1441882</v>
      </c>
      <c r="D355" s="18" t="s">
        <v>522</v>
      </c>
      <c r="E355" s="118" t="s">
        <v>526</v>
      </c>
      <c r="F355" s="49" t="s">
        <v>692</v>
      </c>
      <c r="G355" s="49" t="s">
        <v>692</v>
      </c>
      <c r="H355" s="49" t="s">
        <v>692</v>
      </c>
      <c r="I355" s="49" t="s">
        <v>692</v>
      </c>
      <c r="J355" s="82">
        <v>76100</v>
      </c>
      <c r="K355" s="85">
        <v>0</v>
      </c>
      <c r="L355" s="85">
        <v>76100</v>
      </c>
      <c r="M355" s="65">
        <v>64685</v>
      </c>
      <c r="N355" s="65">
        <v>11415</v>
      </c>
      <c r="O355" s="65">
        <v>0</v>
      </c>
      <c r="P355" s="84">
        <f t="shared" si="13"/>
        <v>1</v>
      </c>
      <c r="Q355" s="73"/>
      <c r="R355" s="73"/>
    </row>
    <row r="356" spans="1:18" customFormat="1" ht="29.55" x14ac:dyDescent="0.3">
      <c r="A356" s="18" t="s">
        <v>421</v>
      </c>
      <c r="B356" s="18" t="s">
        <v>474</v>
      </c>
      <c r="C356" s="132">
        <v>1510020</v>
      </c>
      <c r="D356" s="18" t="s">
        <v>527</v>
      </c>
      <c r="E356" s="118" t="s">
        <v>528</v>
      </c>
      <c r="F356" s="49" t="s">
        <v>692</v>
      </c>
      <c r="G356" s="49" t="s">
        <v>692</v>
      </c>
      <c r="H356" s="49" t="s">
        <v>692</v>
      </c>
      <c r="I356" s="49" t="s">
        <v>692</v>
      </c>
      <c r="J356" s="82">
        <v>506300.6</v>
      </c>
      <c r="K356" s="121">
        <v>75987.850000000006</v>
      </c>
      <c r="L356" s="121">
        <v>430312.75</v>
      </c>
      <c r="M356" s="65">
        <v>430312.75</v>
      </c>
      <c r="N356" s="65">
        <v>0</v>
      </c>
      <c r="O356" s="65">
        <v>0</v>
      </c>
      <c r="P356" s="84">
        <f t="shared" si="13"/>
        <v>0.84991554424387417</v>
      </c>
      <c r="Q356" s="73"/>
      <c r="R356" s="73"/>
    </row>
    <row r="357" spans="1:18" customFormat="1" x14ac:dyDescent="0.3">
      <c r="A357" s="18" t="s">
        <v>421</v>
      </c>
      <c r="B357" s="18" t="s">
        <v>474</v>
      </c>
      <c r="C357" s="132">
        <v>1510020</v>
      </c>
      <c r="D357" s="18" t="s">
        <v>527</v>
      </c>
      <c r="E357" s="118" t="s">
        <v>529</v>
      </c>
      <c r="F357" s="49" t="s">
        <v>692</v>
      </c>
      <c r="G357" s="49" t="s">
        <v>692</v>
      </c>
      <c r="H357" s="49" t="s">
        <v>692</v>
      </c>
      <c r="I357" s="49" t="s">
        <v>692</v>
      </c>
      <c r="J357" s="82">
        <v>103361.2</v>
      </c>
      <c r="K357" s="85">
        <v>0</v>
      </c>
      <c r="L357" s="121">
        <v>103361.2</v>
      </c>
      <c r="M357" s="65">
        <v>87857.01999999999</v>
      </c>
      <c r="N357" s="65">
        <v>15504.180000000008</v>
      </c>
      <c r="O357" s="65">
        <v>0</v>
      </c>
      <c r="P357" s="84">
        <f t="shared" si="13"/>
        <v>1</v>
      </c>
      <c r="Q357" s="73"/>
      <c r="R357" s="73"/>
    </row>
    <row r="358" spans="1:18" customFormat="1" x14ac:dyDescent="0.3">
      <c r="A358" s="18" t="s">
        <v>421</v>
      </c>
      <c r="B358" s="18" t="s">
        <v>474</v>
      </c>
      <c r="C358" s="132">
        <v>1510020</v>
      </c>
      <c r="D358" s="18" t="s">
        <v>527</v>
      </c>
      <c r="E358" s="118" t="s">
        <v>530</v>
      </c>
      <c r="F358" s="49" t="s">
        <v>692</v>
      </c>
      <c r="G358" s="49" t="s">
        <v>692</v>
      </c>
      <c r="H358" s="49" t="s">
        <v>692</v>
      </c>
      <c r="I358" s="49" t="s">
        <v>692</v>
      </c>
      <c r="J358" s="82">
        <v>59548.09</v>
      </c>
      <c r="K358" s="85">
        <v>0</v>
      </c>
      <c r="L358" s="121">
        <v>59548.09</v>
      </c>
      <c r="M358" s="65">
        <v>50615.876499999998</v>
      </c>
      <c r="N358" s="65">
        <v>8932.213499999998</v>
      </c>
      <c r="O358" s="65">
        <v>0</v>
      </c>
      <c r="P358" s="84">
        <f t="shared" si="13"/>
        <v>1</v>
      </c>
      <c r="Q358" s="73"/>
      <c r="R358" s="73"/>
    </row>
    <row r="359" spans="1:18" customFormat="1" x14ac:dyDescent="0.3">
      <c r="A359" s="18" t="s">
        <v>421</v>
      </c>
      <c r="B359" s="18" t="s">
        <v>474</v>
      </c>
      <c r="C359" s="132">
        <v>1510020</v>
      </c>
      <c r="D359" s="18" t="s">
        <v>527</v>
      </c>
      <c r="E359" s="118" t="s">
        <v>531</v>
      </c>
      <c r="F359" s="49" t="s">
        <v>692</v>
      </c>
      <c r="G359" s="49" t="s">
        <v>692</v>
      </c>
      <c r="H359" s="49" t="s">
        <v>692</v>
      </c>
      <c r="I359" s="49" t="s">
        <v>692</v>
      </c>
      <c r="J359" s="82">
        <v>98031</v>
      </c>
      <c r="K359" s="85">
        <v>0</v>
      </c>
      <c r="L359" s="121">
        <v>98031</v>
      </c>
      <c r="M359" s="65">
        <v>83326.349999999991</v>
      </c>
      <c r="N359" s="65">
        <v>14704.650000000009</v>
      </c>
      <c r="O359" s="65">
        <v>0</v>
      </c>
      <c r="P359" s="84">
        <f t="shared" si="13"/>
        <v>1</v>
      </c>
      <c r="Q359" s="73"/>
      <c r="R359" s="73"/>
    </row>
    <row r="360" spans="1:18" customFormat="1" x14ac:dyDescent="0.3">
      <c r="A360" s="18" t="s">
        <v>421</v>
      </c>
      <c r="B360" s="18" t="s">
        <v>474</v>
      </c>
      <c r="C360" s="132">
        <v>1518338</v>
      </c>
      <c r="D360" s="18" t="s">
        <v>532</v>
      </c>
      <c r="E360" s="118" t="s">
        <v>533</v>
      </c>
      <c r="F360" s="49" t="s">
        <v>692</v>
      </c>
      <c r="G360" s="49" t="s">
        <v>692</v>
      </c>
      <c r="H360" s="49" t="s">
        <v>692</v>
      </c>
      <c r="I360" s="49" t="s">
        <v>692</v>
      </c>
      <c r="J360" s="82">
        <f>536356.26+8662.85</f>
        <v>545019.11</v>
      </c>
      <c r="K360" s="121">
        <f>J360-L360</f>
        <v>81752.87</v>
      </c>
      <c r="L360" s="121">
        <f>455902.82+7363.42</f>
        <v>463266.24</v>
      </c>
      <c r="M360" s="65">
        <f>L360</f>
        <v>463266.24</v>
      </c>
      <c r="N360" s="65">
        <v>0</v>
      </c>
      <c r="O360" s="65">
        <v>0</v>
      </c>
      <c r="P360" s="84">
        <f t="shared" si="13"/>
        <v>0.84999999357820688</v>
      </c>
      <c r="Q360" s="73">
        <v>0</v>
      </c>
      <c r="R360" s="73">
        <f>Q360*P360</f>
        <v>0</v>
      </c>
    </row>
    <row r="361" spans="1:18" customFormat="1" x14ac:dyDescent="0.3">
      <c r="A361" s="18" t="s">
        <v>421</v>
      </c>
      <c r="B361" s="18" t="s">
        <v>474</v>
      </c>
      <c r="C361" s="132">
        <v>1518338</v>
      </c>
      <c r="D361" s="18" t="s">
        <v>532</v>
      </c>
      <c r="E361" s="118" t="s">
        <v>534</v>
      </c>
      <c r="F361" s="49" t="s">
        <v>692</v>
      </c>
      <c r="G361" s="49" t="s">
        <v>692</v>
      </c>
      <c r="H361" s="49" t="s">
        <v>692</v>
      </c>
      <c r="I361" s="49" t="s">
        <v>692</v>
      </c>
      <c r="J361" s="82">
        <v>0</v>
      </c>
      <c r="K361" s="121">
        <v>0</v>
      </c>
      <c r="L361" s="121">
        <v>0</v>
      </c>
      <c r="M361" s="65">
        <v>0</v>
      </c>
      <c r="N361" s="65">
        <v>0</v>
      </c>
      <c r="O361" s="65">
        <v>0</v>
      </c>
      <c r="P361" s="84" t="e">
        <f t="shared" si="13"/>
        <v>#DIV/0!</v>
      </c>
      <c r="Q361" s="73"/>
      <c r="R361" s="73"/>
    </row>
    <row r="362" spans="1:18" customFormat="1" ht="29.55" x14ac:dyDescent="0.3">
      <c r="A362" s="18" t="s">
        <v>421</v>
      </c>
      <c r="B362" s="18" t="s">
        <v>474</v>
      </c>
      <c r="C362" s="132">
        <v>1518338</v>
      </c>
      <c r="D362" s="18" t="s">
        <v>532</v>
      </c>
      <c r="E362" s="118" t="s">
        <v>535</v>
      </c>
      <c r="F362" s="49" t="s">
        <v>692</v>
      </c>
      <c r="G362" s="49" t="s">
        <v>692</v>
      </c>
      <c r="H362" s="49" t="s">
        <v>692</v>
      </c>
      <c r="I362" s="49" t="s">
        <v>692</v>
      </c>
      <c r="J362" s="82">
        <v>110032.15000000001</v>
      </c>
      <c r="K362" s="85">
        <v>0</v>
      </c>
      <c r="L362" s="82">
        <v>110032.15000000001</v>
      </c>
      <c r="M362" s="65">
        <f>L362*0.85</f>
        <v>93527.327499999999</v>
      </c>
      <c r="N362" s="65">
        <f>L362-M362</f>
        <v>16504.822500000009</v>
      </c>
      <c r="O362" s="65">
        <v>0</v>
      </c>
      <c r="P362" s="84">
        <f t="shared" si="13"/>
        <v>1</v>
      </c>
      <c r="Q362" s="73"/>
      <c r="R362" s="73"/>
    </row>
    <row r="363" spans="1:18" customFormat="1" x14ac:dyDescent="0.3">
      <c r="A363" s="18" t="s">
        <v>421</v>
      </c>
      <c r="B363" s="18" t="s">
        <v>474</v>
      </c>
      <c r="C363" s="132">
        <v>1569821</v>
      </c>
      <c r="D363" s="18" t="s">
        <v>536</v>
      </c>
      <c r="E363" s="118" t="s">
        <v>537</v>
      </c>
      <c r="F363" s="49" t="s">
        <v>692</v>
      </c>
      <c r="G363" s="49" t="s">
        <v>692</v>
      </c>
      <c r="H363" s="49" t="s">
        <v>692</v>
      </c>
      <c r="I363" s="49" t="s">
        <v>692</v>
      </c>
      <c r="J363" s="82">
        <v>104355.17000000001</v>
      </c>
      <c r="K363" s="121">
        <v>0</v>
      </c>
      <c r="L363" s="121">
        <v>104355.17000000001</v>
      </c>
      <c r="M363" s="65">
        <v>88701.894500000009</v>
      </c>
      <c r="N363" s="65">
        <v>15653.275500000003</v>
      </c>
      <c r="O363" s="65">
        <v>0</v>
      </c>
      <c r="P363" s="84">
        <f t="shared" si="13"/>
        <v>1</v>
      </c>
      <c r="Q363" s="73"/>
      <c r="R363" s="73"/>
    </row>
    <row r="364" spans="1:18" customFormat="1" x14ac:dyDescent="0.3">
      <c r="A364" s="18" t="s">
        <v>421</v>
      </c>
      <c r="B364" s="18" t="s">
        <v>474</v>
      </c>
      <c r="C364" s="132">
        <v>1569821</v>
      </c>
      <c r="D364" s="18" t="s">
        <v>536</v>
      </c>
      <c r="E364" s="118" t="s">
        <v>538</v>
      </c>
      <c r="F364" s="49" t="s">
        <v>692</v>
      </c>
      <c r="G364" s="49" t="s">
        <v>692</v>
      </c>
      <c r="H364" s="49" t="s">
        <v>692</v>
      </c>
      <c r="I364" s="49" t="s">
        <v>692</v>
      </c>
      <c r="J364" s="82">
        <f>122944.67-541.69</f>
        <v>122402.98</v>
      </c>
      <c r="K364" s="121">
        <v>0</v>
      </c>
      <c r="L364" s="82">
        <f>122944.67-541.69</f>
        <v>122402.98</v>
      </c>
      <c r="M364" s="65">
        <f>L364*0.85</f>
        <v>104042.533</v>
      </c>
      <c r="N364" s="65">
        <f>L364-M364</f>
        <v>18360.447</v>
      </c>
      <c r="O364" s="65">
        <v>0</v>
      </c>
      <c r="P364" s="84">
        <f t="shared" si="13"/>
        <v>1</v>
      </c>
      <c r="Q364" s="73"/>
      <c r="R364" s="73"/>
    </row>
    <row r="365" spans="1:18" customFormat="1" x14ac:dyDescent="0.3">
      <c r="A365" s="18" t="s">
        <v>421</v>
      </c>
      <c r="B365" s="18" t="s">
        <v>474</v>
      </c>
      <c r="C365" s="132">
        <v>1569821</v>
      </c>
      <c r="D365" s="18" t="s">
        <v>536</v>
      </c>
      <c r="E365" s="118" t="s">
        <v>539</v>
      </c>
      <c r="F365" s="49" t="s">
        <v>692</v>
      </c>
      <c r="G365" s="49" t="s">
        <v>692</v>
      </c>
      <c r="H365" s="49" t="s">
        <v>692</v>
      </c>
      <c r="I365" s="49" t="s">
        <v>692</v>
      </c>
      <c r="J365" s="82">
        <v>154586.97000000003</v>
      </c>
      <c r="K365" s="121">
        <v>0</v>
      </c>
      <c r="L365" s="121">
        <v>154586.97000000003</v>
      </c>
      <c r="M365" s="65">
        <v>131398.92450000002</v>
      </c>
      <c r="N365" s="65">
        <v>23188.045500000007</v>
      </c>
      <c r="O365" s="65">
        <v>0</v>
      </c>
      <c r="P365" s="84">
        <f t="shared" si="13"/>
        <v>1</v>
      </c>
      <c r="Q365" s="73"/>
      <c r="R365" s="73"/>
    </row>
    <row r="366" spans="1:18" customFormat="1" x14ac:dyDescent="0.3">
      <c r="A366" s="18" t="s">
        <v>421</v>
      </c>
      <c r="B366" s="18" t="s">
        <v>474</v>
      </c>
      <c r="C366" s="132">
        <v>1569821</v>
      </c>
      <c r="D366" s="18" t="s">
        <v>536</v>
      </c>
      <c r="E366" s="118" t="s">
        <v>540</v>
      </c>
      <c r="F366" s="49" t="s">
        <v>692</v>
      </c>
      <c r="G366" s="49" t="s">
        <v>692</v>
      </c>
      <c r="H366" s="49" t="s">
        <v>692</v>
      </c>
      <c r="I366" s="49" t="s">
        <v>692</v>
      </c>
      <c r="J366" s="82">
        <v>57169.39</v>
      </c>
      <c r="K366" s="121">
        <v>0</v>
      </c>
      <c r="L366" s="121">
        <v>57169.39</v>
      </c>
      <c r="M366" s="65">
        <v>48593.981500000002</v>
      </c>
      <c r="N366" s="65">
        <v>8575.4084999999977</v>
      </c>
      <c r="O366" s="65">
        <v>0</v>
      </c>
      <c r="P366" s="84">
        <f t="shared" si="13"/>
        <v>1</v>
      </c>
      <c r="Q366" s="73"/>
      <c r="R366" s="73"/>
    </row>
    <row r="367" spans="1:18" customFormat="1" ht="29.55" x14ac:dyDescent="0.3">
      <c r="A367" s="18" t="s">
        <v>421</v>
      </c>
      <c r="B367" s="18" t="s">
        <v>474</v>
      </c>
      <c r="C367" s="132">
        <v>1569849</v>
      </c>
      <c r="D367" s="18" t="s">
        <v>541</v>
      </c>
      <c r="E367" s="118" t="s">
        <v>542</v>
      </c>
      <c r="F367" s="49" t="s">
        <v>692</v>
      </c>
      <c r="G367" s="49" t="s">
        <v>692</v>
      </c>
      <c r="H367" s="49" t="s">
        <v>692</v>
      </c>
      <c r="I367" s="49" t="s">
        <v>692</v>
      </c>
      <c r="J367" s="82">
        <v>239850</v>
      </c>
      <c r="K367" s="121">
        <v>35977.5</v>
      </c>
      <c r="L367" s="121">
        <v>203872.5</v>
      </c>
      <c r="M367" s="65">
        <v>203872.5</v>
      </c>
      <c r="N367" s="65">
        <v>0</v>
      </c>
      <c r="O367" s="65">
        <v>0</v>
      </c>
      <c r="P367" s="84">
        <f t="shared" si="13"/>
        <v>0.85</v>
      </c>
      <c r="Q367" s="73"/>
      <c r="R367" s="73"/>
    </row>
    <row r="368" spans="1:18" customFormat="1" x14ac:dyDescent="0.3">
      <c r="A368" s="18" t="s">
        <v>421</v>
      </c>
      <c r="B368" s="18" t="s">
        <v>474</v>
      </c>
      <c r="C368" s="132">
        <v>1569849</v>
      </c>
      <c r="D368" s="18" t="s">
        <v>541</v>
      </c>
      <c r="E368" s="118" t="s">
        <v>498</v>
      </c>
      <c r="F368" s="49" t="s">
        <v>692</v>
      </c>
      <c r="G368" s="49" t="s">
        <v>692</v>
      </c>
      <c r="H368" s="49" t="s">
        <v>692</v>
      </c>
      <c r="I368" s="49" t="s">
        <v>692</v>
      </c>
      <c r="J368" s="82">
        <v>161680.79999999999</v>
      </c>
      <c r="K368" s="121">
        <v>0</v>
      </c>
      <c r="L368" s="121">
        <v>161680.79999999999</v>
      </c>
      <c r="M368" s="65">
        <v>137428.68</v>
      </c>
      <c r="N368" s="65">
        <v>24252.119999999995</v>
      </c>
      <c r="O368" s="65">
        <v>0</v>
      </c>
      <c r="P368" s="84">
        <f t="shared" si="13"/>
        <v>1</v>
      </c>
      <c r="Q368" s="73"/>
      <c r="R368" s="73"/>
    </row>
    <row r="369" spans="1:18" customFormat="1" x14ac:dyDescent="0.3">
      <c r="A369" s="18" t="s">
        <v>421</v>
      </c>
      <c r="B369" s="18" t="s">
        <v>474</v>
      </c>
      <c r="C369" s="132">
        <v>1569849</v>
      </c>
      <c r="D369" s="18" t="s">
        <v>541</v>
      </c>
      <c r="E369" s="118" t="s">
        <v>543</v>
      </c>
      <c r="F369" s="12" t="s">
        <v>692</v>
      </c>
      <c r="G369" s="12" t="s">
        <v>692</v>
      </c>
      <c r="H369" s="12" t="s">
        <v>692</v>
      </c>
      <c r="I369" s="12" t="s">
        <v>692</v>
      </c>
      <c r="J369" s="82">
        <v>140466</v>
      </c>
      <c r="K369" s="121">
        <v>0</v>
      </c>
      <c r="L369" s="121">
        <v>140466</v>
      </c>
      <c r="M369" s="65">
        <v>119396.09999999999</v>
      </c>
      <c r="N369" s="65">
        <v>21069.900000000009</v>
      </c>
      <c r="O369" s="65">
        <v>0</v>
      </c>
      <c r="P369" s="84">
        <f t="shared" si="13"/>
        <v>1</v>
      </c>
      <c r="Q369" s="73"/>
      <c r="R369" s="73"/>
    </row>
    <row r="370" spans="1:18" customFormat="1" x14ac:dyDescent="0.3">
      <c r="A370" s="11" t="s">
        <v>100</v>
      </c>
      <c r="B370" s="12" t="s">
        <v>474</v>
      </c>
      <c r="C370" s="18">
        <v>591611</v>
      </c>
      <c r="D370" s="12" t="s">
        <v>544</v>
      </c>
      <c r="E370" s="116" t="s">
        <v>545</v>
      </c>
      <c r="F370" s="12">
        <v>13008</v>
      </c>
      <c r="G370" s="12" t="s">
        <v>692</v>
      </c>
      <c r="H370" s="12" t="s">
        <v>692</v>
      </c>
      <c r="I370" s="12" t="s">
        <v>692</v>
      </c>
      <c r="J370" s="82">
        <v>150000</v>
      </c>
      <c r="K370" s="83">
        <v>0</v>
      </c>
      <c r="L370" s="83">
        <v>150000</v>
      </c>
      <c r="M370" s="64">
        <v>127500</v>
      </c>
      <c r="N370" s="64">
        <v>22500</v>
      </c>
      <c r="O370" s="65">
        <v>0</v>
      </c>
      <c r="P370" s="84">
        <f t="shared" si="13"/>
        <v>1</v>
      </c>
      <c r="Q370" s="73"/>
      <c r="R370" s="73"/>
    </row>
    <row r="371" spans="1:18" customFormat="1" x14ac:dyDescent="0.3">
      <c r="A371" s="11" t="s">
        <v>100</v>
      </c>
      <c r="B371" s="12" t="s">
        <v>474</v>
      </c>
      <c r="C371" s="132">
        <v>1518338</v>
      </c>
      <c r="D371" s="12" t="s">
        <v>532</v>
      </c>
      <c r="E371" s="116" t="s">
        <v>546</v>
      </c>
      <c r="F371" s="12">
        <v>13008</v>
      </c>
      <c r="G371" s="12" t="s">
        <v>692</v>
      </c>
      <c r="H371" s="12" t="s">
        <v>692</v>
      </c>
      <c r="I371" s="12" t="s">
        <v>692</v>
      </c>
      <c r="J371" s="82">
        <v>128985.49</v>
      </c>
      <c r="K371" s="83">
        <v>19347.8285</v>
      </c>
      <c r="L371" s="83">
        <v>109637.6615</v>
      </c>
      <c r="M371" s="64">
        <v>109637.6615</v>
      </c>
      <c r="N371" s="65">
        <v>0</v>
      </c>
      <c r="O371" s="65">
        <v>0</v>
      </c>
      <c r="P371" s="84">
        <f t="shared" si="13"/>
        <v>0.8499999612359499</v>
      </c>
      <c r="Q371" s="73"/>
      <c r="R371" s="73"/>
    </row>
    <row r="372" spans="1:18" customFormat="1" x14ac:dyDescent="0.3">
      <c r="A372" s="11" t="s">
        <v>100</v>
      </c>
      <c r="B372" s="12" t="s">
        <v>474</v>
      </c>
      <c r="C372" s="132">
        <v>1518338</v>
      </c>
      <c r="D372" s="12" t="s">
        <v>532</v>
      </c>
      <c r="E372" s="116" t="s">
        <v>547</v>
      </c>
      <c r="F372" s="12">
        <v>13008</v>
      </c>
      <c r="G372" s="12" t="s">
        <v>692</v>
      </c>
      <c r="H372" s="12" t="s">
        <v>692</v>
      </c>
      <c r="I372" s="12" t="s">
        <v>692</v>
      </c>
      <c r="J372" s="82">
        <v>21997.01</v>
      </c>
      <c r="K372" s="83">
        <v>0</v>
      </c>
      <c r="L372" s="83">
        <v>21997.01</v>
      </c>
      <c r="M372" s="64">
        <v>18697.458499999997</v>
      </c>
      <c r="N372" s="64">
        <v>3299.5515000000014</v>
      </c>
      <c r="O372" s="65">
        <v>0</v>
      </c>
      <c r="P372" s="84">
        <f t="shared" si="13"/>
        <v>1</v>
      </c>
      <c r="Q372" s="73"/>
      <c r="R372" s="73"/>
    </row>
    <row r="373" spans="1:18" customFormat="1" x14ac:dyDescent="0.3">
      <c r="A373" s="11" t="s">
        <v>100</v>
      </c>
      <c r="B373" s="12" t="s">
        <v>474</v>
      </c>
      <c r="C373" s="18">
        <v>563663</v>
      </c>
      <c r="D373" s="12" t="s">
        <v>499</v>
      </c>
      <c r="E373" s="116" t="s">
        <v>548</v>
      </c>
      <c r="F373" s="49">
        <v>13008</v>
      </c>
      <c r="G373" s="49" t="s">
        <v>692</v>
      </c>
      <c r="H373" s="49" t="s">
        <v>692</v>
      </c>
      <c r="I373" s="49" t="s">
        <v>692</v>
      </c>
      <c r="J373" s="82">
        <v>161922.60999999999</v>
      </c>
      <c r="K373" s="83">
        <v>24288.411499999987</v>
      </c>
      <c r="L373" s="83">
        <v>137634.1985</v>
      </c>
      <c r="M373" s="64">
        <v>137634.1985</v>
      </c>
      <c r="N373" s="65">
        <v>0</v>
      </c>
      <c r="O373" s="65">
        <v>0</v>
      </c>
      <c r="P373" s="84">
        <f t="shared" si="13"/>
        <v>0.8499998764842045</v>
      </c>
      <c r="Q373" s="73"/>
      <c r="R373" s="73"/>
    </row>
    <row r="374" spans="1:18" customFormat="1" ht="29.55" x14ac:dyDescent="0.3">
      <c r="A374" s="11" t="s">
        <v>100</v>
      </c>
      <c r="B374" s="12" t="s">
        <v>474</v>
      </c>
      <c r="C374" s="132">
        <v>1510020</v>
      </c>
      <c r="D374" s="18" t="s">
        <v>527</v>
      </c>
      <c r="E374" s="118" t="s">
        <v>528</v>
      </c>
      <c r="F374" s="12">
        <v>13008</v>
      </c>
      <c r="G374" s="12" t="s">
        <v>692</v>
      </c>
      <c r="H374" s="12" t="s">
        <v>692</v>
      </c>
      <c r="I374" s="12" t="s">
        <v>692</v>
      </c>
      <c r="J374" s="82">
        <v>110392.5</v>
      </c>
      <c r="K374" s="83">
        <v>16558.87</v>
      </c>
      <c r="L374" s="83">
        <v>93833.63</v>
      </c>
      <c r="M374" s="64">
        <v>93833.63</v>
      </c>
      <c r="N374" s="65">
        <v>0</v>
      </c>
      <c r="O374" s="65">
        <v>0</v>
      </c>
      <c r="P374" s="84">
        <f t="shared" si="13"/>
        <v>0.85000004529293205</v>
      </c>
      <c r="Q374" s="73"/>
      <c r="R374" s="73"/>
    </row>
    <row r="375" spans="1:18" customFormat="1" x14ac:dyDescent="0.3">
      <c r="A375" s="11" t="s">
        <v>100</v>
      </c>
      <c r="B375" s="12" t="s">
        <v>474</v>
      </c>
      <c r="C375" s="132">
        <v>1510020</v>
      </c>
      <c r="D375" s="18" t="s">
        <v>527</v>
      </c>
      <c r="E375" s="116" t="s">
        <v>549</v>
      </c>
      <c r="F375" s="12">
        <v>13008</v>
      </c>
      <c r="G375" s="12" t="s">
        <v>692</v>
      </c>
      <c r="H375" s="12" t="s">
        <v>692</v>
      </c>
      <c r="I375" s="12" t="s">
        <v>692</v>
      </c>
      <c r="J375" s="82">
        <v>24600</v>
      </c>
      <c r="K375" s="83">
        <v>0</v>
      </c>
      <c r="L375" s="83">
        <v>24600</v>
      </c>
      <c r="M375" s="64">
        <v>20910</v>
      </c>
      <c r="N375" s="64">
        <v>3690</v>
      </c>
      <c r="O375" s="65">
        <v>0</v>
      </c>
      <c r="P375" s="84">
        <f t="shared" si="13"/>
        <v>1</v>
      </c>
      <c r="Q375" s="73"/>
      <c r="R375" s="73"/>
    </row>
    <row r="376" spans="1:18" customFormat="1" x14ac:dyDescent="0.3">
      <c r="A376" s="11" t="s">
        <v>100</v>
      </c>
      <c r="B376" s="12" t="s">
        <v>474</v>
      </c>
      <c r="C376" s="132">
        <v>1510020</v>
      </c>
      <c r="D376" s="18" t="s">
        <v>527</v>
      </c>
      <c r="E376" s="116" t="s">
        <v>550</v>
      </c>
      <c r="F376" s="12">
        <v>13008</v>
      </c>
      <c r="G376" s="12" t="s">
        <v>692</v>
      </c>
      <c r="H376" s="12" t="s">
        <v>692</v>
      </c>
      <c r="I376" s="12" t="s">
        <v>692</v>
      </c>
      <c r="J376" s="82">
        <v>15006</v>
      </c>
      <c r="K376" s="83">
        <v>0</v>
      </c>
      <c r="L376" s="83">
        <v>15006</v>
      </c>
      <c r="M376" s="64">
        <v>12755.1</v>
      </c>
      <c r="N376" s="64">
        <v>2250.8999999999996</v>
      </c>
      <c r="O376" s="65">
        <v>0</v>
      </c>
      <c r="P376" s="84">
        <f t="shared" si="13"/>
        <v>1</v>
      </c>
      <c r="Q376" s="73"/>
      <c r="R376" s="73"/>
    </row>
    <row r="377" spans="1:18" customFormat="1" x14ac:dyDescent="0.3">
      <c r="A377" s="11" t="s">
        <v>100</v>
      </c>
      <c r="B377" s="12" t="s">
        <v>474</v>
      </c>
      <c r="C377" s="132">
        <v>1418951</v>
      </c>
      <c r="D377" s="12" t="s">
        <v>516</v>
      </c>
      <c r="E377" s="116" t="s">
        <v>551</v>
      </c>
      <c r="F377" s="12">
        <v>13008</v>
      </c>
      <c r="G377" s="12" t="s">
        <v>692</v>
      </c>
      <c r="H377" s="12" t="s">
        <v>692</v>
      </c>
      <c r="I377" s="12" t="s">
        <v>692</v>
      </c>
      <c r="J377" s="82">
        <v>0</v>
      </c>
      <c r="K377" s="83">
        <v>0</v>
      </c>
      <c r="L377" s="83">
        <v>0</v>
      </c>
      <c r="M377" s="64">
        <v>0</v>
      </c>
      <c r="N377" s="65">
        <v>0</v>
      </c>
      <c r="O377" s="65">
        <v>0</v>
      </c>
      <c r="P377" s="84" t="e">
        <f t="shared" si="13"/>
        <v>#DIV/0!</v>
      </c>
      <c r="Q377" s="73"/>
      <c r="R377" s="73"/>
    </row>
    <row r="378" spans="1:18" customFormat="1" ht="29.55" x14ac:dyDescent="0.3">
      <c r="A378" s="11" t="s">
        <v>100</v>
      </c>
      <c r="B378" s="12" t="s">
        <v>474</v>
      </c>
      <c r="C378" s="132">
        <v>1418951</v>
      </c>
      <c r="D378" s="12" t="s">
        <v>516</v>
      </c>
      <c r="E378" s="116" t="s">
        <v>604</v>
      </c>
      <c r="F378" s="12">
        <v>13008</v>
      </c>
      <c r="G378" s="12" t="s">
        <v>692</v>
      </c>
      <c r="H378" s="12" t="s">
        <v>692</v>
      </c>
      <c r="I378" s="12" t="s">
        <v>692</v>
      </c>
      <c r="J378" s="82">
        <v>168540.54</v>
      </c>
      <c r="K378" s="83">
        <v>25281.09</v>
      </c>
      <c r="L378" s="83">
        <v>143259.45000000001</v>
      </c>
      <c r="M378" s="64">
        <v>143259.45000000001</v>
      </c>
      <c r="N378" s="65">
        <v>0</v>
      </c>
      <c r="O378" s="65">
        <v>0</v>
      </c>
      <c r="P378" s="84">
        <f t="shared" si="13"/>
        <v>0.84999994660038469</v>
      </c>
      <c r="Q378" s="73"/>
      <c r="R378" s="73"/>
    </row>
    <row r="379" spans="1:18" customFormat="1" x14ac:dyDescent="0.3">
      <c r="A379" s="11" t="s">
        <v>100</v>
      </c>
      <c r="B379" s="12" t="s">
        <v>474</v>
      </c>
      <c r="C379" s="132">
        <v>581511</v>
      </c>
      <c r="D379" s="12" t="s">
        <v>552</v>
      </c>
      <c r="E379" s="116" t="s">
        <v>553</v>
      </c>
      <c r="F379" s="12">
        <v>13008</v>
      </c>
      <c r="G379" s="12" t="s">
        <v>692</v>
      </c>
      <c r="H379" s="12" t="s">
        <v>692</v>
      </c>
      <c r="I379" s="12" t="s">
        <v>692</v>
      </c>
      <c r="J379" s="82">
        <v>101670.43</v>
      </c>
      <c r="K379" s="83">
        <v>0</v>
      </c>
      <c r="L379" s="83">
        <v>101670.43</v>
      </c>
      <c r="M379" s="64">
        <v>86419.865499999985</v>
      </c>
      <c r="N379" s="65">
        <v>15250.564500000008</v>
      </c>
      <c r="O379" s="65">
        <v>0</v>
      </c>
      <c r="P379" s="84">
        <f t="shared" si="13"/>
        <v>1</v>
      </c>
      <c r="Q379" s="73"/>
      <c r="R379" s="73"/>
    </row>
    <row r="380" spans="1:18" customFormat="1" x14ac:dyDescent="0.3">
      <c r="A380" s="11" t="s">
        <v>100</v>
      </c>
      <c r="B380" s="12" t="s">
        <v>474</v>
      </c>
      <c r="C380" s="18">
        <v>572703</v>
      </c>
      <c r="D380" s="18" t="s">
        <v>482</v>
      </c>
      <c r="E380" s="116" t="s">
        <v>554</v>
      </c>
      <c r="F380" s="12">
        <v>13008</v>
      </c>
      <c r="G380" s="12" t="s">
        <v>692</v>
      </c>
      <c r="H380" s="12" t="s">
        <v>692</v>
      </c>
      <c r="I380" s="12" t="s">
        <v>692</v>
      </c>
      <c r="J380" s="82">
        <f>49999.5-88.56</f>
        <v>49910.94</v>
      </c>
      <c r="K380" s="83">
        <v>0</v>
      </c>
      <c r="L380" s="82">
        <f>49999.5-88.56</f>
        <v>49910.94</v>
      </c>
      <c r="M380" s="64">
        <f>L380*0.85</f>
        <v>42424.298999999999</v>
      </c>
      <c r="N380" s="65">
        <f>L380-M380</f>
        <v>7486.6410000000033</v>
      </c>
      <c r="O380" s="65">
        <v>0</v>
      </c>
      <c r="P380" s="84">
        <f t="shared" si="13"/>
        <v>1</v>
      </c>
      <c r="Q380" s="73"/>
      <c r="R380" s="73"/>
    </row>
    <row r="381" spans="1:18" customFormat="1" x14ac:dyDescent="0.3">
      <c r="A381" s="11" t="s">
        <v>100</v>
      </c>
      <c r="B381" s="12" t="s">
        <v>474</v>
      </c>
      <c r="C381" s="18">
        <v>572703</v>
      </c>
      <c r="D381" s="18" t="s">
        <v>482</v>
      </c>
      <c r="E381" s="116" t="s">
        <v>555</v>
      </c>
      <c r="F381" s="18">
        <v>13008</v>
      </c>
      <c r="G381" s="18" t="s">
        <v>692</v>
      </c>
      <c r="H381" s="18" t="s">
        <v>692</v>
      </c>
      <c r="I381" s="18" t="s">
        <v>692</v>
      </c>
      <c r="J381" s="82">
        <f>36506.4+89.79</f>
        <v>36596.19</v>
      </c>
      <c r="K381" s="83">
        <f>J381-L381</f>
        <v>5489.4300000000039</v>
      </c>
      <c r="L381" s="83">
        <f>31030.44+76.32</f>
        <v>31106.76</v>
      </c>
      <c r="M381" s="64">
        <f>L381</f>
        <v>31106.76</v>
      </c>
      <c r="N381" s="65">
        <v>0</v>
      </c>
      <c r="O381" s="65">
        <v>0</v>
      </c>
      <c r="P381" s="84">
        <f t="shared" si="13"/>
        <v>0.84999995901212655</v>
      </c>
      <c r="Q381" s="73"/>
      <c r="R381" s="73"/>
    </row>
    <row r="382" spans="1:18" customFormat="1" ht="29.55" x14ac:dyDescent="0.3">
      <c r="A382" s="11" t="s">
        <v>100</v>
      </c>
      <c r="B382" s="12" t="s">
        <v>474</v>
      </c>
      <c r="C382" s="18">
        <v>572703</v>
      </c>
      <c r="D382" s="18" t="s">
        <v>482</v>
      </c>
      <c r="E382" s="131" t="s">
        <v>485</v>
      </c>
      <c r="F382" s="12">
        <v>13008</v>
      </c>
      <c r="G382" s="12" t="s">
        <v>692</v>
      </c>
      <c r="H382" s="12" t="s">
        <v>692</v>
      </c>
      <c r="I382" s="12" t="s">
        <v>692</v>
      </c>
      <c r="J382" s="82">
        <v>33320</v>
      </c>
      <c r="K382" s="83">
        <f>J382-L382</f>
        <v>4998</v>
      </c>
      <c r="L382" s="83">
        <v>28322</v>
      </c>
      <c r="M382" s="64">
        <v>28322</v>
      </c>
      <c r="N382" s="65">
        <v>0</v>
      </c>
      <c r="O382" s="65">
        <v>0</v>
      </c>
      <c r="P382" s="84">
        <f t="shared" si="13"/>
        <v>0.85</v>
      </c>
      <c r="Q382" s="73"/>
      <c r="R382" s="73"/>
    </row>
    <row r="383" spans="1:18" customFormat="1" x14ac:dyDescent="0.3">
      <c r="A383" s="11" t="s">
        <v>100</v>
      </c>
      <c r="B383" s="12" t="s">
        <v>474</v>
      </c>
      <c r="C383" s="18">
        <v>572703</v>
      </c>
      <c r="D383" s="18" t="s">
        <v>482</v>
      </c>
      <c r="E383" s="116" t="s">
        <v>393</v>
      </c>
      <c r="F383" s="12">
        <v>13008</v>
      </c>
      <c r="G383" s="12" t="s">
        <v>692</v>
      </c>
      <c r="H383" s="12" t="s">
        <v>692</v>
      </c>
      <c r="I383" s="12" t="s">
        <v>692</v>
      </c>
      <c r="J383" s="82">
        <f>40590-1.23</f>
        <v>40588.769999999997</v>
      </c>
      <c r="K383" s="83">
        <v>0</v>
      </c>
      <c r="L383" s="82">
        <f>40590-1.23</f>
        <v>40588.769999999997</v>
      </c>
      <c r="M383" s="64">
        <f>L383*0.85</f>
        <v>34500.4545</v>
      </c>
      <c r="N383" s="65">
        <f>L383-M383</f>
        <v>6088.315499999997</v>
      </c>
      <c r="O383" s="65">
        <v>0</v>
      </c>
      <c r="P383" s="84">
        <f t="shared" si="13"/>
        <v>1</v>
      </c>
      <c r="Q383" s="73"/>
      <c r="R383" s="73"/>
    </row>
    <row r="384" spans="1:18" customFormat="1" x14ac:dyDescent="0.3">
      <c r="A384" s="11" t="s">
        <v>100</v>
      </c>
      <c r="B384" s="12" t="s">
        <v>474</v>
      </c>
      <c r="C384" s="132">
        <v>1569821</v>
      </c>
      <c r="D384" s="12" t="s">
        <v>536</v>
      </c>
      <c r="E384" s="116" t="s">
        <v>136</v>
      </c>
      <c r="F384" s="12">
        <v>13008</v>
      </c>
      <c r="G384" s="12" t="s">
        <v>692</v>
      </c>
      <c r="H384" s="12" t="s">
        <v>692</v>
      </c>
      <c r="I384" s="12" t="s">
        <v>692</v>
      </c>
      <c r="J384" s="82">
        <v>129010.54</v>
      </c>
      <c r="K384" s="83">
        <v>0</v>
      </c>
      <c r="L384" s="83">
        <v>129010.54</v>
      </c>
      <c r="M384" s="64">
        <v>109658.95899999999</v>
      </c>
      <c r="N384" s="65">
        <v>19351.581000000006</v>
      </c>
      <c r="O384" s="65">
        <v>0</v>
      </c>
      <c r="P384" s="84">
        <f t="shared" si="13"/>
        <v>1</v>
      </c>
      <c r="Q384" s="73"/>
      <c r="R384" s="73"/>
    </row>
    <row r="385" spans="1:18" customFormat="1" x14ac:dyDescent="0.3">
      <c r="A385" s="11" t="s">
        <v>100</v>
      </c>
      <c r="B385" s="12" t="s">
        <v>474</v>
      </c>
      <c r="C385" s="132">
        <v>1569821</v>
      </c>
      <c r="D385" s="12" t="s">
        <v>536</v>
      </c>
      <c r="E385" s="116" t="s">
        <v>557</v>
      </c>
      <c r="F385" s="12">
        <v>13008</v>
      </c>
      <c r="G385" s="12" t="s">
        <v>692</v>
      </c>
      <c r="H385" s="12" t="s">
        <v>692</v>
      </c>
      <c r="I385" s="12" t="s">
        <v>692</v>
      </c>
      <c r="J385" s="82">
        <v>18160</v>
      </c>
      <c r="K385" s="83">
        <v>0</v>
      </c>
      <c r="L385" s="83">
        <v>18160</v>
      </c>
      <c r="M385" s="64">
        <v>15436</v>
      </c>
      <c r="N385" s="65">
        <v>2724</v>
      </c>
      <c r="O385" s="65">
        <v>0</v>
      </c>
      <c r="P385" s="84">
        <f t="shared" si="13"/>
        <v>1</v>
      </c>
      <c r="Q385" s="73"/>
      <c r="R385" s="73"/>
    </row>
    <row r="386" spans="1:18" customFormat="1" x14ac:dyDescent="0.3">
      <c r="A386" s="11" t="s">
        <v>100</v>
      </c>
      <c r="B386" s="12" t="s">
        <v>474</v>
      </c>
      <c r="C386" s="132">
        <v>1569849</v>
      </c>
      <c r="D386" s="12" t="s">
        <v>558</v>
      </c>
      <c r="E386" s="116" t="s">
        <v>559</v>
      </c>
      <c r="F386" s="12">
        <v>13008</v>
      </c>
      <c r="G386" s="12" t="s">
        <v>692</v>
      </c>
      <c r="H386" s="12" t="s">
        <v>692</v>
      </c>
      <c r="I386" s="12" t="s">
        <v>692</v>
      </c>
      <c r="J386" s="82">
        <v>160000.86000000002</v>
      </c>
      <c r="K386" s="83">
        <v>24000.13</v>
      </c>
      <c r="L386" s="83">
        <v>136000.73000000001</v>
      </c>
      <c r="M386" s="64">
        <v>136000.73000000001</v>
      </c>
      <c r="N386" s="65">
        <v>0</v>
      </c>
      <c r="O386" s="65">
        <v>0</v>
      </c>
      <c r="P386" s="84">
        <f t="shared" si="13"/>
        <v>0.84999999375003354</v>
      </c>
      <c r="Q386" s="73"/>
      <c r="R386" s="73"/>
    </row>
    <row r="387" spans="1:18" customFormat="1" x14ac:dyDescent="0.3">
      <c r="A387" s="11" t="s">
        <v>100</v>
      </c>
      <c r="B387" s="12" t="s">
        <v>474</v>
      </c>
      <c r="C387" s="132">
        <v>1569849</v>
      </c>
      <c r="D387" s="12" t="s">
        <v>558</v>
      </c>
      <c r="E387" s="116" t="s">
        <v>560</v>
      </c>
      <c r="F387" s="12">
        <v>13008</v>
      </c>
      <c r="G387" s="12" t="s">
        <v>692</v>
      </c>
      <c r="H387" s="12" t="s">
        <v>692</v>
      </c>
      <c r="I387" s="12" t="s">
        <v>692</v>
      </c>
      <c r="J387" s="82">
        <v>10000</v>
      </c>
      <c r="K387" s="83">
        <v>0</v>
      </c>
      <c r="L387" s="83">
        <v>10000</v>
      </c>
      <c r="M387" s="64">
        <v>8500</v>
      </c>
      <c r="N387" s="65">
        <v>1500</v>
      </c>
      <c r="O387" s="65">
        <v>0</v>
      </c>
      <c r="P387" s="84">
        <f t="shared" ref="P387:P450" si="14">L387/J387</f>
        <v>1</v>
      </c>
      <c r="Q387" s="73"/>
      <c r="R387" s="73"/>
    </row>
    <row r="388" spans="1:18" customFormat="1" x14ac:dyDescent="0.3">
      <c r="A388" s="11" t="s">
        <v>100</v>
      </c>
      <c r="B388" s="12" t="s">
        <v>474</v>
      </c>
      <c r="C388" s="132">
        <v>631714</v>
      </c>
      <c r="D388" s="18" t="s">
        <v>497</v>
      </c>
      <c r="E388" s="116" t="s">
        <v>561</v>
      </c>
      <c r="F388" s="12">
        <v>13008</v>
      </c>
      <c r="G388" s="12" t="s">
        <v>692</v>
      </c>
      <c r="H388" s="12" t="s">
        <v>692</v>
      </c>
      <c r="I388" s="12" t="s">
        <v>692</v>
      </c>
      <c r="J388" s="82">
        <v>100900</v>
      </c>
      <c r="K388" s="83">
        <v>0</v>
      </c>
      <c r="L388" s="83">
        <v>100900</v>
      </c>
      <c r="M388" s="64">
        <v>85765</v>
      </c>
      <c r="N388" s="65">
        <v>15135</v>
      </c>
      <c r="O388" s="65">
        <v>0</v>
      </c>
      <c r="P388" s="84">
        <f t="shared" si="14"/>
        <v>1</v>
      </c>
      <c r="Q388" s="73"/>
      <c r="R388" s="73"/>
    </row>
    <row r="389" spans="1:18" customFormat="1" x14ac:dyDescent="0.3">
      <c r="A389" s="11" t="s">
        <v>100</v>
      </c>
      <c r="B389" s="12" t="s">
        <v>474</v>
      </c>
      <c r="C389" s="132">
        <v>631714</v>
      </c>
      <c r="D389" s="18" t="s">
        <v>497</v>
      </c>
      <c r="E389" s="116" t="s">
        <v>560</v>
      </c>
      <c r="F389" s="12">
        <v>13008</v>
      </c>
      <c r="G389" s="12" t="s">
        <v>692</v>
      </c>
      <c r="H389" s="12" t="s">
        <v>692</v>
      </c>
      <c r="I389" s="12" t="s">
        <v>692</v>
      </c>
      <c r="J389" s="82">
        <v>25000</v>
      </c>
      <c r="K389" s="83">
        <v>0</v>
      </c>
      <c r="L389" s="83">
        <v>25000</v>
      </c>
      <c r="M389" s="64">
        <v>21250</v>
      </c>
      <c r="N389" s="65">
        <v>3750</v>
      </c>
      <c r="O389" s="65">
        <v>0</v>
      </c>
      <c r="P389" s="84">
        <f t="shared" si="14"/>
        <v>1</v>
      </c>
      <c r="Q389" s="73"/>
      <c r="R389" s="73"/>
    </row>
    <row r="390" spans="1:18" customFormat="1" x14ac:dyDescent="0.3">
      <c r="A390" s="11" t="s">
        <v>100</v>
      </c>
      <c r="B390" s="12" t="s">
        <v>474</v>
      </c>
      <c r="C390" s="12">
        <v>2666402</v>
      </c>
      <c r="D390" s="18" t="s">
        <v>562</v>
      </c>
      <c r="E390" s="116" t="s">
        <v>567</v>
      </c>
      <c r="F390" s="49">
        <v>13008</v>
      </c>
      <c r="G390" s="49" t="s">
        <v>692</v>
      </c>
      <c r="H390" s="49" t="s">
        <v>692</v>
      </c>
      <c r="I390" s="49" t="s">
        <v>692</v>
      </c>
      <c r="J390" s="82">
        <v>176470.56</v>
      </c>
      <c r="K390" s="83">
        <v>26470.58</v>
      </c>
      <c r="L390" s="83">
        <v>149999.98000000001</v>
      </c>
      <c r="M390" s="64">
        <v>149999.98000000001</v>
      </c>
      <c r="N390" s="65">
        <v>0</v>
      </c>
      <c r="O390" s="65">
        <v>0</v>
      </c>
      <c r="P390" s="84">
        <f t="shared" si="14"/>
        <v>0.85000002266667041</v>
      </c>
      <c r="Q390" s="73"/>
      <c r="R390" s="73"/>
    </row>
    <row r="391" spans="1:18" customFormat="1" ht="29.55" x14ac:dyDescent="0.3">
      <c r="A391" s="11" t="s">
        <v>100</v>
      </c>
      <c r="B391" s="12" t="s">
        <v>474</v>
      </c>
      <c r="C391" s="18">
        <v>490188</v>
      </c>
      <c r="D391" s="18" t="s">
        <v>493</v>
      </c>
      <c r="E391" s="118" t="s">
        <v>494</v>
      </c>
      <c r="F391" s="12">
        <v>13008</v>
      </c>
      <c r="G391" s="12" t="s">
        <v>692</v>
      </c>
      <c r="H391" s="12" t="s">
        <v>692</v>
      </c>
      <c r="I391" s="12" t="s">
        <v>692</v>
      </c>
      <c r="J391" s="82">
        <v>159081.99999999997</v>
      </c>
      <c r="K391" s="83">
        <v>23862.3</v>
      </c>
      <c r="L391" s="83">
        <v>135219.69999999998</v>
      </c>
      <c r="M391" s="64">
        <v>135219.69999999998</v>
      </c>
      <c r="N391" s="65">
        <v>0</v>
      </c>
      <c r="O391" s="65">
        <v>0</v>
      </c>
      <c r="P391" s="84">
        <f t="shared" si="14"/>
        <v>0.85000000000000009</v>
      </c>
      <c r="Q391" s="73"/>
      <c r="R391" s="73"/>
    </row>
    <row r="392" spans="1:18" customFormat="1" x14ac:dyDescent="0.3">
      <c r="A392" s="11" t="s">
        <v>109</v>
      </c>
      <c r="B392" s="12" t="s">
        <v>474</v>
      </c>
      <c r="C392" s="12">
        <v>2554351</v>
      </c>
      <c r="D392" s="12" t="s">
        <v>563</v>
      </c>
      <c r="E392" s="116" t="s">
        <v>564</v>
      </c>
      <c r="F392" s="12">
        <v>13008</v>
      </c>
      <c r="G392" s="12" t="s">
        <v>692</v>
      </c>
      <c r="H392" s="12" t="s">
        <v>692</v>
      </c>
      <c r="I392" s="12" t="s">
        <v>692</v>
      </c>
      <c r="J392" s="82">
        <v>88381.76999999999</v>
      </c>
      <c r="K392" s="83">
        <v>0</v>
      </c>
      <c r="L392" s="83">
        <v>88381.76999999999</v>
      </c>
      <c r="M392" s="64">
        <v>75124.504499999995</v>
      </c>
      <c r="N392" s="65">
        <v>13257.265499999994</v>
      </c>
      <c r="O392" s="65">
        <v>0</v>
      </c>
      <c r="P392" s="84">
        <f t="shared" si="14"/>
        <v>1</v>
      </c>
      <c r="Q392" s="73"/>
      <c r="R392" s="73"/>
    </row>
    <row r="393" spans="1:18" customFormat="1" x14ac:dyDescent="0.3">
      <c r="A393" s="11" t="s">
        <v>109</v>
      </c>
      <c r="B393" s="12" t="s">
        <v>474</v>
      </c>
      <c r="C393" s="12">
        <v>2554351</v>
      </c>
      <c r="D393" s="12" t="s">
        <v>563</v>
      </c>
      <c r="E393" s="116" t="s">
        <v>565</v>
      </c>
      <c r="F393" s="12">
        <v>13008</v>
      </c>
      <c r="G393" s="12" t="s">
        <v>692</v>
      </c>
      <c r="H393" s="12" t="s">
        <v>692</v>
      </c>
      <c r="I393" s="12" t="s">
        <v>692</v>
      </c>
      <c r="J393" s="82">
        <v>211430.73</v>
      </c>
      <c r="K393" s="83">
        <v>0</v>
      </c>
      <c r="L393" s="83">
        <v>211430.73</v>
      </c>
      <c r="M393" s="64">
        <v>179716.12049999999</v>
      </c>
      <c r="N393" s="65">
        <v>31714.60950000002</v>
      </c>
      <c r="O393" s="65">
        <v>0</v>
      </c>
      <c r="P393" s="84">
        <f t="shared" si="14"/>
        <v>1</v>
      </c>
      <c r="Q393" s="73"/>
      <c r="R393" s="73"/>
    </row>
    <row r="394" spans="1:18" customFormat="1" x14ac:dyDescent="0.3">
      <c r="A394" s="11" t="s">
        <v>109</v>
      </c>
      <c r="B394" s="12" t="s">
        <v>474</v>
      </c>
      <c r="C394" s="12">
        <v>2666402</v>
      </c>
      <c r="D394" s="12" t="s">
        <v>566</v>
      </c>
      <c r="E394" s="116" t="s">
        <v>567</v>
      </c>
      <c r="F394" s="12">
        <v>13008</v>
      </c>
      <c r="G394" s="12" t="s">
        <v>692</v>
      </c>
      <c r="H394" s="12" t="s">
        <v>692</v>
      </c>
      <c r="I394" s="12" t="s">
        <v>692</v>
      </c>
      <c r="J394" s="82">
        <v>175767</v>
      </c>
      <c r="K394" s="83">
        <v>26365.05</v>
      </c>
      <c r="L394" s="83">
        <v>149401.95000000001</v>
      </c>
      <c r="M394" s="64">
        <v>149401.95000000001</v>
      </c>
      <c r="N394" s="65">
        <v>0</v>
      </c>
      <c r="O394" s="65">
        <v>0</v>
      </c>
      <c r="P394" s="84">
        <f t="shared" si="14"/>
        <v>0.85000000000000009</v>
      </c>
      <c r="Q394" s="73"/>
      <c r="R394" s="73"/>
    </row>
    <row r="395" spans="1:18" customFormat="1" x14ac:dyDescent="0.3">
      <c r="A395" s="11" t="s">
        <v>109</v>
      </c>
      <c r="B395" s="12" t="s">
        <v>474</v>
      </c>
      <c r="C395" s="12">
        <v>2666402</v>
      </c>
      <c r="D395" s="12" t="s">
        <v>566</v>
      </c>
      <c r="E395" s="116" t="s">
        <v>568</v>
      </c>
      <c r="F395" s="12">
        <v>13008</v>
      </c>
      <c r="G395" s="12" t="s">
        <v>692</v>
      </c>
      <c r="H395" s="12" t="s">
        <v>692</v>
      </c>
      <c r="I395" s="12" t="s">
        <v>692</v>
      </c>
      <c r="J395" s="82">
        <v>83890</v>
      </c>
      <c r="K395" s="83">
        <v>12583.5</v>
      </c>
      <c r="L395" s="83">
        <v>71306.5</v>
      </c>
      <c r="M395" s="64">
        <v>71306.5</v>
      </c>
      <c r="N395" s="65">
        <v>0</v>
      </c>
      <c r="O395" s="65">
        <v>0</v>
      </c>
      <c r="P395" s="84">
        <f t="shared" si="14"/>
        <v>0.85</v>
      </c>
      <c r="Q395" s="73"/>
      <c r="R395" s="73"/>
    </row>
    <row r="396" spans="1:18" customFormat="1" x14ac:dyDescent="0.3">
      <c r="A396" s="11" t="s">
        <v>109</v>
      </c>
      <c r="B396" s="12" t="s">
        <v>474</v>
      </c>
      <c r="C396" s="12">
        <v>2666402</v>
      </c>
      <c r="D396" s="12" t="s">
        <v>566</v>
      </c>
      <c r="E396" s="116" t="s">
        <v>569</v>
      </c>
      <c r="F396" s="12">
        <v>13008</v>
      </c>
      <c r="G396" s="12" t="s">
        <v>692</v>
      </c>
      <c r="H396" s="12" t="s">
        <v>692</v>
      </c>
      <c r="I396" s="12" t="s">
        <v>692</v>
      </c>
      <c r="J396" s="82">
        <v>45756</v>
      </c>
      <c r="K396" s="83">
        <v>6863.4</v>
      </c>
      <c r="L396" s="83">
        <v>38892.6</v>
      </c>
      <c r="M396" s="64">
        <v>38892.6</v>
      </c>
      <c r="N396" s="65">
        <v>0</v>
      </c>
      <c r="O396" s="65">
        <v>0</v>
      </c>
      <c r="P396" s="84">
        <f t="shared" si="14"/>
        <v>0.85</v>
      </c>
      <c r="Q396" s="73"/>
      <c r="R396" s="73"/>
    </row>
    <row r="397" spans="1:18" customFormat="1" x14ac:dyDescent="0.3">
      <c r="A397" s="11" t="s">
        <v>109</v>
      </c>
      <c r="B397" s="12" t="s">
        <v>474</v>
      </c>
      <c r="C397" s="12">
        <v>2666402</v>
      </c>
      <c r="D397" s="12" t="s">
        <v>566</v>
      </c>
      <c r="E397" s="116" t="s">
        <v>570</v>
      </c>
      <c r="F397" s="12">
        <v>13008</v>
      </c>
      <c r="G397" s="12" t="s">
        <v>692</v>
      </c>
      <c r="H397" s="12" t="s">
        <v>692</v>
      </c>
      <c r="I397" s="12" t="s">
        <v>692</v>
      </c>
      <c r="J397" s="82">
        <v>98154</v>
      </c>
      <c r="K397" s="83">
        <v>0</v>
      </c>
      <c r="L397" s="83">
        <v>98154</v>
      </c>
      <c r="M397" s="64">
        <v>83430.899999999994</v>
      </c>
      <c r="N397" s="65">
        <v>14723.100000000006</v>
      </c>
      <c r="O397" s="65">
        <v>0</v>
      </c>
      <c r="P397" s="84">
        <f t="shared" si="14"/>
        <v>1</v>
      </c>
      <c r="Q397" s="73"/>
      <c r="R397" s="73"/>
    </row>
    <row r="398" spans="1:18" customFormat="1" x14ac:dyDescent="0.3">
      <c r="A398" s="11" t="s">
        <v>109</v>
      </c>
      <c r="B398" s="12" t="s">
        <v>474</v>
      </c>
      <c r="C398" s="12">
        <v>2948814</v>
      </c>
      <c r="D398" s="12" t="s">
        <v>571</v>
      </c>
      <c r="E398" s="116" t="s">
        <v>572</v>
      </c>
      <c r="F398" s="12">
        <v>13008</v>
      </c>
      <c r="G398" s="12" t="s">
        <v>692</v>
      </c>
      <c r="H398" s="12" t="s">
        <v>692</v>
      </c>
      <c r="I398" s="12" t="s">
        <v>692</v>
      </c>
      <c r="J398" s="82">
        <v>131660</v>
      </c>
      <c r="K398" s="83">
        <v>0</v>
      </c>
      <c r="L398" s="83">
        <v>131660</v>
      </c>
      <c r="M398" s="64">
        <v>111911</v>
      </c>
      <c r="N398" s="65">
        <v>19749</v>
      </c>
      <c r="O398" s="65">
        <v>0</v>
      </c>
      <c r="P398" s="84">
        <f t="shared" si="14"/>
        <v>1</v>
      </c>
      <c r="Q398" s="73"/>
      <c r="R398" s="73"/>
    </row>
    <row r="399" spans="1:18" customFormat="1" x14ac:dyDescent="0.3">
      <c r="A399" s="11" t="s">
        <v>109</v>
      </c>
      <c r="B399" s="12" t="s">
        <v>474</v>
      </c>
      <c r="C399" s="12">
        <v>2948814</v>
      </c>
      <c r="D399" s="12" t="s">
        <v>571</v>
      </c>
      <c r="E399" s="116" t="s">
        <v>573</v>
      </c>
      <c r="F399" s="12">
        <v>13008</v>
      </c>
      <c r="G399" s="12" t="s">
        <v>692</v>
      </c>
      <c r="H399" s="12" t="s">
        <v>692</v>
      </c>
      <c r="I399" s="12" t="s">
        <v>692</v>
      </c>
      <c r="J399" s="82">
        <v>140760</v>
      </c>
      <c r="K399" s="83">
        <v>21114</v>
      </c>
      <c r="L399" s="83">
        <v>119646</v>
      </c>
      <c r="M399" s="64">
        <v>119646</v>
      </c>
      <c r="N399" s="65">
        <v>0</v>
      </c>
      <c r="O399" s="65">
        <v>0</v>
      </c>
      <c r="P399" s="84">
        <f t="shared" si="14"/>
        <v>0.85</v>
      </c>
      <c r="Q399" s="73"/>
      <c r="R399" s="73"/>
    </row>
    <row r="400" spans="1:18" customFormat="1" x14ac:dyDescent="0.3">
      <c r="A400" s="18" t="s">
        <v>7</v>
      </c>
      <c r="B400" s="18" t="s">
        <v>601</v>
      </c>
      <c r="C400" s="18">
        <v>607386</v>
      </c>
      <c r="D400" s="18" t="s">
        <v>602</v>
      </c>
      <c r="E400" s="116" t="s">
        <v>603</v>
      </c>
      <c r="F400" s="12" t="s">
        <v>692</v>
      </c>
      <c r="G400" s="12" t="s">
        <v>692</v>
      </c>
      <c r="H400" s="12" t="s">
        <v>692</v>
      </c>
      <c r="I400" s="12" t="s">
        <v>692</v>
      </c>
      <c r="J400" s="82">
        <f>289138.86-20551.89</f>
        <v>268586.96999999997</v>
      </c>
      <c r="K400" s="82">
        <v>0</v>
      </c>
      <c r="L400" s="82">
        <f>289138.86-20551.89</f>
        <v>268586.96999999997</v>
      </c>
      <c r="M400" s="67">
        <f>L400*0.85</f>
        <v>228298.92449999996</v>
      </c>
      <c r="N400" s="67">
        <f>L400-M400</f>
        <v>40288.045500000007</v>
      </c>
      <c r="O400" s="65">
        <v>0</v>
      </c>
      <c r="P400" s="84">
        <f t="shared" si="14"/>
        <v>1</v>
      </c>
      <c r="Q400" s="73"/>
      <c r="R400" s="73"/>
    </row>
    <row r="401" spans="1:18" customFormat="1" ht="29.55" x14ac:dyDescent="0.3">
      <c r="A401" s="18" t="s">
        <v>7</v>
      </c>
      <c r="B401" s="18" t="s">
        <v>601</v>
      </c>
      <c r="C401" s="18">
        <v>607386</v>
      </c>
      <c r="D401" s="18" t="s">
        <v>602</v>
      </c>
      <c r="E401" s="116" t="s">
        <v>604</v>
      </c>
      <c r="F401" s="12" t="s">
        <v>692</v>
      </c>
      <c r="G401" s="12">
        <v>3286</v>
      </c>
      <c r="H401" s="12" t="s">
        <v>697</v>
      </c>
      <c r="I401" s="12" t="s">
        <v>737</v>
      </c>
      <c r="J401" s="82">
        <f>222280.45-2990.64</f>
        <v>219289.81</v>
      </c>
      <c r="K401" s="82">
        <f>33342.07-448.59</f>
        <v>32893.480000000003</v>
      </c>
      <c r="L401" s="82">
        <f>188938.38-2542.05</f>
        <v>186396.33000000002</v>
      </c>
      <c r="M401" s="67">
        <f>L401</f>
        <v>186396.33000000002</v>
      </c>
      <c r="N401" s="67">
        <f>L401-M401</f>
        <v>0</v>
      </c>
      <c r="O401" s="65">
        <v>0</v>
      </c>
      <c r="P401" s="84">
        <f t="shared" si="14"/>
        <v>0.84999996123850907</v>
      </c>
      <c r="Q401" s="73"/>
      <c r="R401" s="73"/>
    </row>
    <row r="402" spans="1:18" customFormat="1" x14ac:dyDescent="0.3">
      <c r="A402" s="18" t="s">
        <v>7</v>
      </c>
      <c r="B402" s="18" t="s">
        <v>601</v>
      </c>
      <c r="C402" s="18">
        <v>607386</v>
      </c>
      <c r="D402" s="18" t="s">
        <v>602</v>
      </c>
      <c r="E402" s="116" t="s">
        <v>605</v>
      </c>
      <c r="F402" s="18" t="s">
        <v>692</v>
      </c>
      <c r="G402" s="18" t="s">
        <v>692</v>
      </c>
      <c r="H402" s="18" t="s">
        <v>692</v>
      </c>
      <c r="I402" s="18" t="s">
        <v>692</v>
      </c>
      <c r="J402" s="82">
        <f>78111.47-450.09</f>
        <v>77661.38</v>
      </c>
      <c r="K402" s="82">
        <v>0</v>
      </c>
      <c r="L402" s="82">
        <f>78111.47-450.09</f>
        <v>77661.38</v>
      </c>
      <c r="M402" s="67">
        <f>L402*0.85</f>
        <v>66012.172999999995</v>
      </c>
      <c r="N402" s="67">
        <f>L402-M402</f>
        <v>11649.207000000009</v>
      </c>
      <c r="O402" s="65">
        <v>0</v>
      </c>
      <c r="P402" s="84">
        <f t="shared" si="14"/>
        <v>1</v>
      </c>
      <c r="Q402" s="73"/>
      <c r="R402" s="73"/>
    </row>
    <row r="403" spans="1:18" customFormat="1" x14ac:dyDescent="0.3">
      <c r="A403" s="18" t="s">
        <v>7</v>
      </c>
      <c r="B403" s="18" t="s">
        <v>601</v>
      </c>
      <c r="C403" s="18">
        <v>607386</v>
      </c>
      <c r="D403" s="18" t="s">
        <v>602</v>
      </c>
      <c r="E403" s="131" t="s">
        <v>606</v>
      </c>
      <c r="F403" s="18" t="s">
        <v>692</v>
      </c>
      <c r="G403" s="18" t="s">
        <v>692</v>
      </c>
      <c r="H403" s="18" t="s">
        <v>692</v>
      </c>
      <c r="I403" s="18" t="s">
        <v>692</v>
      </c>
      <c r="J403" s="82">
        <f>30190.28</f>
        <v>30190.28</v>
      </c>
      <c r="K403" s="82">
        <f>4528.61</f>
        <v>4528.6099999999997</v>
      </c>
      <c r="L403" s="82">
        <f>25661.67</f>
        <v>25661.67</v>
      </c>
      <c r="M403" s="65">
        <f>L403</f>
        <v>25661.67</v>
      </c>
      <c r="N403" s="67">
        <f>L403-M403</f>
        <v>0</v>
      </c>
      <c r="O403" s="65">
        <v>0</v>
      </c>
      <c r="P403" s="84">
        <f t="shared" si="14"/>
        <v>0.84999774761943248</v>
      </c>
      <c r="Q403" s="73"/>
      <c r="R403" s="73"/>
    </row>
    <row r="404" spans="1:18" customFormat="1" x14ac:dyDescent="0.3">
      <c r="A404" s="18" t="s">
        <v>7</v>
      </c>
      <c r="B404" s="18" t="s">
        <v>601</v>
      </c>
      <c r="C404" s="18">
        <v>607386</v>
      </c>
      <c r="D404" s="18" t="s">
        <v>602</v>
      </c>
      <c r="E404" s="131" t="s">
        <v>607</v>
      </c>
      <c r="F404" s="12" t="s">
        <v>692</v>
      </c>
      <c r="G404" s="12">
        <v>3286</v>
      </c>
      <c r="H404" s="12">
        <v>581793</v>
      </c>
      <c r="I404" s="12">
        <v>1128871</v>
      </c>
      <c r="J404" s="82">
        <f>29540.91-980.51</f>
        <v>28560.400000000001</v>
      </c>
      <c r="K404" s="82">
        <f>4431.14-147.1</f>
        <v>4284.04</v>
      </c>
      <c r="L404" s="82">
        <f>25109.77-833.41</f>
        <v>24276.36</v>
      </c>
      <c r="M404" s="65">
        <f>L404</f>
        <v>24276.36</v>
      </c>
      <c r="N404" s="67">
        <f>L404-M404</f>
        <v>0</v>
      </c>
      <c r="O404" s="65">
        <v>0</v>
      </c>
      <c r="P404" s="84">
        <f t="shared" si="14"/>
        <v>0.85000070027030428</v>
      </c>
      <c r="Q404" s="73"/>
      <c r="R404" s="73"/>
    </row>
    <row r="405" spans="1:18" customFormat="1" x14ac:dyDescent="0.3">
      <c r="A405" s="18" t="s">
        <v>7</v>
      </c>
      <c r="B405" s="18" t="s">
        <v>601</v>
      </c>
      <c r="C405" s="132">
        <v>643893</v>
      </c>
      <c r="D405" s="18" t="s">
        <v>608</v>
      </c>
      <c r="E405" s="116" t="s">
        <v>417</v>
      </c>
      <c r="F405" s="12" t="s">
        <v>692</v>
      </c>
      <c r="G405" s="12" t="s">
        <v>692</v>
      </c>
      <c r="H405" s="12" t="s">
        <v>692</v>
      </c>
      <c r="I405" s="12" t="s">
        <v>692</v>
      </c>
      <c r="J405" s="82">
        <v>660352.07999999996</v>
      </c>
      <c r="K405" s="82">
        <v>0</v>
      </c>
      <c r="L405" s="82">
        <v>660352.07999999996</v>
      </c>
      <c r="M405" s="67">
        <v>561299.26799999992</v>
      </c>
      <c r="N405" s="67">
        <v>99052.812000000034</v>
      </c>
      <c r="O405" s="65">
        <v>0</v>
      </c>
      <c r="P405" s="84">
        <f t="shared" si="14"/>
        <v>1</v>
      </c>
      <c r="Q405" s="73"/>
      <c r="R405" s="73"/>
    </row>
    <row r="406" spans="1:18" customFormat="1" x14ac:dyDescent="0.3">
      <c r="A406" s="18" t="s">
        <v>7</v>
      </c>
      <c r="B406" s="18" t="s">
        <v>601</v>
      </c>
      <c r="C406" s="132">
        <v>643893</v>
      </c>
      <c r="D406" s="18" t="s">
        <v>608</v>
      </c>
      <c r="E406" s="116" t="s">
        <v>609</v>
      </c>
      <c r="F406" s="49" t="s">
        <v>692</v>
      </c>
      <c r="G406" s="49" t="s">
        <v>692</v>
      </c>
      <c r="H406" s="49" t="s">
        <v>692</v>
      </c>
      <c r="I406" s="49" t="s">
        <v>692</v>
      </c>
      <c r="J406" s="82">
        <v>179599.7</v>
      </c>
      <c r="K406" s="82">
        <v>0</v>
      </c>
      <c r="L406" s="82">
        <v>179599.7</v>
      </c>
      <c r="M406" s="67">
        <v>152659.75</v>
      </c>
      <c r="N406" s="67">
        <f>L406-M406</f>
        <v>26939.950000000012</v>
      </c>
      <c r="O406" s="65">
        <v>0</v>
      </c>
      <c r="P406" s="84">
        <f t="shared" si="14"/>
        <v>1</v>
      </c>
      <c r="Q406" s="73"/>
      <c r="R406" s="73"/>
    </row>
    <row r="407" spans="1:18" customFormat="1" x14ac:dyDescent="0.3">
      <c r="A407" s="18" t="s">
        <v>7</v>
      </c>
      <c r="B407" s="18" t="s">
        <v>601</v>
      </c>
      <c r="C407" s="18">
        <v>601953</v>
      </c>
      <c r="D407" s="18" t="s">
        <v>610</v>
      </c>
      <c r="E407" s="118" t="s">
        <v>611</v>
      </c>
      <c r="F407" s="49" t="s">
        <v>692</v>
      </c>
      <c r="G407" s="49" t="s">
        <v>692</v>
      </c>
      <c r="H407" s="49" t="s">
        <v>692</v>
      </c>
      <c r="I407" s="49" t="s">
        <v>692</v>
      </c>
      <c r="J407" s="82">
        <v>725278</v>
      </c>
      <c r="K407" s="82">
        <v>0</v>
      </c>
      <c r="L407" s="85">
        <v>725278</v>
      </c>
      <c r="M407" s="65">
        <v>616486.29999999993</v>
      </c>
      <c r="N407" s="65">
        <v>108791.70000000007</v>
      </c>
      <c r="O407" s="65">
        <v>0</v>
      </c>
      <c r="P407" s="84">
        <f t="shared" si="14"/>
        <v>1</v>
      </c>
      <c r="Q407" s="73"/>
      <c r="R407" s="73"/>
    </row>
    <row r="408" spans="1:18" customFormat="1" x14ac:dyDescent="0.3">
      <c r="A408" s="18" t="s">
        <v>7</v>
      </c>
      <c r="B408" s="18" t="s">
        <v>601</v>
      </c>
      <c r="C408" s="18">
        <v>601953</v>
      </c>
      <c r="D408" s="18" t="s">
        <v>610</v>
      </c>
      <c r="E408" s="118" t="s">
        <v>612</v>
      </c>
      <c r="F408" s="12" t="s">
        <v>692</v>
      </c>
      <c r="G408" s="12" t="s">
        <v>692</v>
      </c>
      <c r="H408" s="12" t="s">
        <v>692</v>
      </c>
      <c r="I408" s="12" t="s">
        <v>692</v>
      </c>
      <c r="J408" s="82">
        <v>715466.3</v>
      </c>
      <c r="K408" s="82">
        <v>0</v>
      </c>
      <c r="L408" s="82">
        <v>715466.3</v>
      </c>
      <c r="M408" s="65">
        <v>608146.36</v>
      </c>
      <c r="N408" s="65">
        <f>L408-M408</f>
        <v>107319.94000000006</v>
      </c>
      <c r="O408" s="65">
        <v>0</v>
      </c>
      <c r="P408" s="84">
        <f t="shared" si="14"/>
        <v>1</v>
      </c>
      <c r="Q408" s="73"/>
      <c r="R408" s="73"/>
    </row>
    <row r="409" spans="1:18" customFormat="1" ht="29.55" x14ac:dyDescent="0.3">
      <c r="A409" s="18" t="s">
        <v>7</v>
      </c>
      <c r="B409" s="18" t="s">
        <v>601</v>
      </c>
      <c r="C409" s="18">
        <v>483978</v>
      </c>
      <c r="D409" s="18" t="s">
        <v>613</v>
      </c>
      <c r="E409" s="116" t="s">
        <v>614</v>
      </c>
      <c r="F409" s="12" t="s">
        <v>692</v>
      </c>
      <c r="G409" s="12" t="s">
        <v>692</v>
      </c>
      <c r="H409" s="12" t="s">
        <v>692</v>
      </c>
      <c r="I409" s="12" t="s">
        <v>692</v>
      </c>
      <c r="J409" s="82">
        <v>200478.02000000002</v>
      </c>
      <c r="K409" s="85">
        <v>0</v>
      </c>
      <c r="L409" s="85">
        <v>200478.02000000002</v>
      </c>
      <c r="M409" s="67">
        <v>170406.31700000001</v>
      </c>
      <c r="N409" s="67">
        <v>30071.703000000009</v>
      </c>
      <c r="O409" s="65">
        <v>0</v>
      </c>
      <c r="P409" s="84">
        <f t="shared" si="14"/>
        <v>1</v>
      </c>
      <c r="Q409" s="73"/>
      <c r="R409" s="73"/>
    </row>
    <row r="410" spans="1:18" customFormat="1" ht="29.55" x14ac:dyDescent="0.3">
      <c r="A410" s="18" t="s">
        <v>7</v>
      </c>
      <c r="B410" s="18" t="s">
        <v>601</v>
      </c>
      <c r="C410" s="18">
        <v>483978</v>
      </c>
      <c r="D410" s="18" t="s">
        <v>613</v>
      </c>
      <c r="E410" s="116" t="s">
        <v>615</v>
      </c>
      <c r="F410" s="18" t="s">
        <v>692</v>
      </c>
      <c r="G410" s="18" t="s">
        <v>692</v>
      </c>
      <c r="H410" s="18" t="s">
        <v>692</v>
      </c>
      <c r="I410" s="18" t="s">
        <v>692</v>
      </c>
      <c r="J410" s="82">
        <v>151054.76</v>
      </c>
      <c r="K410" s="85">
        <v>22658.220000000016</v>
      </c>
      <c r="L410" s="85">
        <v>128396.54</v>
      </c>
      <c r="M410" s="67">
        <v>128396.54</v>
      </c>
      <c r="N410" s="65">
        <v>0</v>
      </c>
      <c r="O410" s="65">
        <v>0</v>
      </c>
      <c r="P410" s="84">
        <f t="shared" si="14"/>
        <v>0.84999996027930524</v>
      </c>
      <c r="Q410" s="73"/>
      <c r="R410" s="73"/>
    </row>
    <row r="411" spans="1:18" customFormat="1" x14ac:dyDescent="0.3">
      <c r="A411" s="18" t="s">
        <v>7</v>
      </c>
      <c r="B411" s="18" t="s">
        <v>601</v>
      </c>
      <c r="C411" s="18">
        <v>483978</v>
      </c>
      <c r="D411" s="18" t="s">
        <v>613</v>
      </c>
      <c r="E411" s="131" t="s">
        <v>616</v>
      </c>
      <c r="F411" s="18" t="s">
        <v>692</v>
      </c>
      <c r="G411" s="18" t="s">
        <v>692</v>
      </c>
      <c r="H411" s="18" t="s">
        <v>692</v>
      </c>
      <c r="I411" s="18" t="s">
        <v>692</v>
      </c>
      <c r="J411" s="82">
        <v>56123.31</v>
      </c>
      <c r="K411" s="85">
        <v>0</v>
      </c>
      <c r="L411" s="85">
        <v>56123.31</v>
      </c>
      <c r="M411" s="67">
        <v>47704.813499999997</v>
      </c>
      <c r="N411" s="67">
        <v>8418.4965000000011</v>
      </c>
      <c r="O411" s="65">
        <v>0</v>
      </c>
      <c r="P411" s="84">
        <f t="shared" si="14"/>
        <v>1</v>
      </c>
      <c r="Q411" s="73"/>
      <c r="R411" s="73"/>
    </row>
    <row r="412" spans="1:18" customFormat="1" x14ac:dyDescent="0.3">
      <c r="A412" s="18" t="s">
        <v>7</v>
      </c>
      <c r="B412" s="18" t="s">
        <v>601</v>
      </c>
      <c r="C412" s="18">
        <v>483978</v>
      </c>
      <c r="D412" s="18" t="s">
        <v>613</v>
      </c>
      <c r="E412" s="131" t="s">
        <v>49</v>
      </c>
      <c r="F412" s="49" t="s">
        <v>692</v>
      </c>
      <c r="G412" s="49" t="s">
        <v>692</v>
      </c>
      <c r="H412" s="49" t="s">
        <v>692</v>
      </c>
      <c r="I412" s="49" t="s">
        <v>692</v>
      </c>
      <c r="J412" s="82">
        <v>56123.92</v>
      </c>
      <c r="K412" s="85">
        <v>0</v>
      </c>
      <c r="L412" s="85">
        <v>56123.92</v>
      </c>
      <c r="M412" s="67">
        <v>47705.331999999995</v>
      </c>
      <c r="N412" s="67">
        <v>8418.5880000000034</v>
      </c>
      <c r="O412" s="65">
        <v>0</v>
      </c>
      <c r="P412" s="84">
        <f t="shared" si="14"/>
        <v>1</v>
      </c>
      <c r="Q412" s="73"/>
      <c r="R412" s="73"/>
    </row>
    <row r="413" spans="1:18" customFormat="1" x14ac:dyDescent="0.3">
      <c r="A413" s="18" t="s">
        <v>7</v>
      </c>
      <c r="B413" s="18" t="s">
        <v>601</v>
      </c>
      <c r="C413" s="18">
        <v>483978</v>
      </c>
      <c r="D413" s="18" t="s">
        <v>613</v>
      </c>
      <c r="E413" s="118" t="s">
        <v>617</v>
      </c>
      <c r="F413" s="49" t="s">
        <v>692</v>
      </c>
      <c r="G413" s="49" t="s">
        <v>692</v>
      </c>
      <c r="H413" s="49" t="s">
        <v>692</v>
      </c>
      <c r="I413" s="49" t="s">
        <v>692</v>
      </c>
      <c r="J413" s="82">
        <v>26456.5</v>
      </c>
      <c r="K413" s="85">
        <v>0</v>
      </c>
      <c r="L413" s="85">
        <v>26456.5</v>
      </c>
      <c r="M413" s="65">
        <v>22488.03</v>
      </c>
      <c r="N413" s="65">
        <f t="shared" ref="N413:N418" si="15">L413-M413</f>
        <v>3968.4700000000012</v>
      </c>
      <c r="O413" s="65">
        <v>0</v>
      </c>
      <c r="P413" s="84">
        <f t="shared" si="14"/>
        <v>1</v>
      </c>
      <c r="Q413" s="73"/>
      <c r="R413" s="73"/>
    </row>
    <row r="414" spans="1:18" customFormat="1" x14ac:dyDescent="0.3">
      <c r="A414" s="18" t="s">
        <v>7</v>
      </c>
      <c r="B414" s="18" t="s">
        <v>601</v>
      </c>
      <c r="C414" s="18">
        <v>475062</v>
      </c>
      <c r="D414" s="18" t="s">
        <v>618</v>
      </c>
      <c r="E414" s="118" t="s">
        <v>611</v>
      </c>
      <c r="F414" s="18" t="s">
        <v>692</v>
      </c>
      <c r="G414" s="18" t="s">
        <v>692</v>
      </c>
      <c r="H414" s="18" t="s">
        <v>692</v>
      </c>
      <c r="I414" s="18" t="s">
        <v>692</v>
      </c>
      <c r="J414" s="82">
        <f>570000.01-371.9</f>
        <v>569628.11</v>
      </c>
      <c r="K414" s="85">
        <v>0</v>
      </c>
      <c r="L414" s="82">
        <f>570000.01-371.9</f>
        <v>569628.11</v>
      </c>
      <c r="M414" s="65">
        <f>L414*0.85</f>
        <v>484183.89349999995</v>
      </c>
      <c r="N414" s="65">
        <f t="shared" si="15"/>
        <v>85444.216500000039</v>
      </c>
      <c r="O414" s="65">
        <v>0</v>
      </c>
      <c r="P414" s="84">
        <f t="shared" si="14"/>
        <v>1</v>
      </c>
      <c r="Q414" s="73"/>
      <c r="R414" s="73"/>
    </row>
    <row r="415" spans="1:18" customFormat="1" x14ac:dyDescent="0.3">
      <c r="A415" s="18" t="s">
        <v>7</v>
      </c>
      <c r="B415" s="18" t="s">
        <v>601</v>
      </c>
      <c r="C415" s="18">
        <v>475062</v>
      </c>
      <c r="D415" s="18" t="s">
        <v>618</v>
      </c>
      <c r="E415" s="131" t="s">
        <v>50</v>
      </c>
      <c r="F415" s="49" t="s">
        <v>692</v>
      </c>
      <c r="G415" s="49" t="s">
        <v>692</v>
      </c>
      <c r="H415" s="49" t="s">
        <v>692</v>
      </c>
      <c r="I415" s="49" t="s">
        <v>692</v>
      </c>
      <c r="J415" s="82">
        <f>127503.49+1287.5</f>
        <v>128790.99</v>
      </c>
      <c r="K415" s="85">
        <v>0</v>
      </c>
      <c r="L415" s="82">
        <f>127503.49+1287.5</f>
        <v>128790.99</v>
      </c>
      <c r="M415" s="65">
        <f>L415*0.85</f>
        <v>109472.34149999999</v>
      </c>
      <c r="N415" s="65">
        <f t="shared" si="15"/>
        <v>19318.64850000001</v>
      </c>
      <c r="O415" s="65">
        <v>0</v>
      </c>
      <c r="P415" s="84">
        <f t="shared" si="14"/>
        <v>1</v>
      </c>
      <c r="Q415" s="73"/>
      <c r="R415" s="73"/>
    </row>
    <row r="416" spans="1:18" customFormat="1" x14ac:dyDescent="0.3">
      <c r="A416" s="18" t="s">
        <v>7</v>
      </c>
      <c r="B416" s="18" t="s">
        <v>601</v>
      </c>
      <c r="C416" s="18">
        <v>475062</v>
      </c>
      <c r="D416" s="18" t="s">
        <v>618</v>
      </c>
      <c r="E416" s="118" t="s">
        <v>619</v>
      </c>
      <c r="F416" s="49" t="s">
        <v>692</v>
      </c>
      <c r="G416" s="49" t="s">
        <v>692</v>
      </c>
      <c r="H416" s="49" t="s">
        <v>692</v>
      </c>
      <c r="I416" s="49" t="s">
        <v>692</v>
      </c>
      <c r="J416" s="82">
        <v>218816.51</v>
      </c>
      <c r="K416" s="85">
        <v>0</v>
      </c>
      <c r="L416" s="82">
        <v>218816.51</v>
      </c>
      <c r="M416" s="65">
        <f>L416*0.85</f>
        <v>185994.03349999999</v>
      </c>
      <c r="N416" s="65">
        <f t="shared" si="15"/>
        <v>32822.476500000019</v>
      </c>
      <c r="O416" s="65">
        <v>0</v>
      </c>
      <c r="P416" s="84">
        <f t="shared" si="14"/>
        <v>1</v>
      </c>
      <c r="Q416" s="73"/>
      <c r="R416" s="73"/>
    </row>
    <row r="417" spans="1:18" customFormat="1" x14ac:dyDescent="0.3">
      <c r="A417" s="18" t="s">
        <v>7</v>
      </c>
      <c r="B417" s="18" t="s">
        <v>601</v>
      </c>
      <c r="C417" s="18">
        <v>475062</v>
      </c>
      <c r="D417" s="18" t="s">
        <v>618</v>
      </c>
      <c r="E417" s="118" t="s">
        <v>612</v>
      </c>
      <c r="F417" s="49" t="s">
        <v>692</v>
      </c>
      <c r="G417" s="49" t="s">
        <v>692</v>
      </c>
      <c r="H417" s="49" t="s">
        <v>692</v>
      </c>
      <c r="I417" s="49" t="s">
        <v>692</v>
      </c>
      <c r="J417" s="82">
        <f>415000-1025.77</f>
        <v>413974.23</v>
      </c>
      <c r="K417" s="85">
        <v>0</v>
      </c>
      <c r="L417" s="82">
        <f>415000-1025.77</f>
        <v>413974.23</v>
      </c>
      <c r="M417" s="65">
        <f>L417*0.85</f>
        <v>351878.0955</v>
      </c>
      <c r="N417" s="65">
        <f t="shared" si="15"/>
        <v>62096.134499999986</v>
      </c>
      <c r="O417" s="65">
        <v>0</v>
      </c>
      <c r="P417" s="84">
        <f t="shared" si="14"/>
        <v>1</v>
      </c>
      <c r="Q417" s="73"/>
      <c r="R417" s="73"/>
    </row>
    <row r="418" spans="1:18" customFormat="1" x14ac:dyDescent="0.3">
      <c r="A418" s="18" t="s">
        <v>7</v>
      </c>
      <c r="B418" s="18" t="s">
        <v>601</v>
      </c>
      <c r="C418" s="18">
        <v>475062</v>
      </c>
      <c r="D418" s="18" t="s">
        <v>618</v>
      </c>
      <c r="E418" s="118" t="s">
        <v>620</v>
      </c>
      <c r="F418" s="49" t="s">
        <v>692</v>
      </c>
      <c r="G418" s="49" t="s">
        <v>692</v>
      </c>
      <c r="H418" s="49" t="s">
        <v>692</v>
      </c>
      <c r="I418" s="49" t="s">
        <v>692</v>
      </c>
      <c r="J418" s="82">
        <f>102090-567.6</f>
        <v>101522.4</v>
      </c>
      <c r="K418" s="85">
        <v>0</v>
      </c>
      <c r="L418" s="82">
        <f>102090-567.6</f>
        <v>101522.4</v>
      </c>
      <c r="M418" s="65">
        <f>L418*0.85</f>
        <v>86294.04</v>
      </c>
      <c r="N418" s="65">
        <f t="shared" si="15"/>
        <v>15228.36</v>
      </c>
      <c r="O418" s="65">
        <v>0</v>
      </c>
      <c r="P418" s="84">
        <f t="shared" si="14"/>
        <v>1</v>
      </c>
      <c r="Q418" s="73"/>
      <c r="R418" s="73"/>
    </row>
    <row r="419" spans="1:18" customFormat="1" x14ac:dyDescent="0.3">
      <c r="A419" s="18" t="s">
        <v>7</v>
      </c>
      <c r="B419" s="18" t="s">
        <v>601</v>
      </c>
      <c r="C419" s="18">
        <v>570702</v>
      </c>
      <c r="D419" s="18" t="s">
        <v>621</v>
      </c>
      <c r="E419" s="118" t="s">
        <v>622</v>
      </c>
      <c r="F419" s="49" t="s">
        <v>692</v>
      </c>
      <c r="G419" s="49" t="s">
        <v>692</v>
      </c>
      <c r="H419" s="49" t="s">
        <v>692</v>
      </c>
      <c r="I419" s="49" t="s">
        <v>692</v>
      </c>
      <c r="J419" s="82">
        <v>401319.86</v>
      </c>
      <c r="K419" s="85">
        <v>0</v>
      </c>
      <c r="L419" s="85">
        <v>401319.86</v>
      </c>
      <c r="M419" s="65">
        <v>341121.88099999999</v>
      </c>
      <c r="N419" s="65">
        <v>60197.978999999992</v>
      </c>
      <c r="O419" s="65">
        <v>0</v>
      </c>
      <c r="P419" s="84">
        <f t="shared" si="14"/>
        <v>1</v>
      </c>
      <c r="Q419" s="73"/>
      <c r="R419" s="73"/>
    </row>
    <row r="420" spans="1:18" customFormat="1" x14ac:dyDescent="0.3">
      <c r="A420" s="18" t="s">
        <v>7</v>
      </c>
      <c r="B420" s="18" t="s">
        <v>601</v>
      </c>
      <c r="C420" s="18">
        <v>570702</v>
      </c>
      <c r="D420" s="18" t="s">
        <v>621</v>
      </c>
      <c r="E420" s="118" t="s">
        <v>623</v>
      </c>
      <c r="F420" s="12" t="s">
        <v>692</v>
      </c>
      <c r="G420" s="12">
        <v>3286</v>
      </c>
      <c r="H420" s="12">
        <v>581794</v>
      </c>
      <c r="I420" s="12" t="s">
        <v>692</v>
      </c>
      <c r="J420" s="82">
        <v>49323</v>
      </c>
      <c r="K420" s="85">
        <v>7398.4499999999971</v>
      </c>
      <c r="L420" s="85">
        <v>41924.550000000003</v>
      </c>
      <c r="M420" s="65">
        <v>41924.550000000003</v>
      </c>
      <c r="N420" s="65">
        <v>0</v>
      </c>
      <c r="O420" s="65">
        <v>0</v>
      </c>
      <c r="P420" s="84">
        <f t="shared" si="14"/>
        <v>0.85000000000000009</v>
      </c>
      <c r="Q420" s="73"/>
      <c r="R420" s="73"/>
    </row>
    <row r="421" spans="1:18" customFormat="1" ht="29.55" x14ac:dyDescent="0.3">
      <c r="A421" s="18" t="s">
        <v>7</v>
      </c>
      <c r="B421" s="18" t="s">
        <v>601</v>
      </c>
      <c r="C421" s="18">
        <v>570702</v>
      </c>
      <c r="D421" s="18" t="s">
        <v>621</v>
      </c>
      <c r="E421" s="116" t="s">
        <v>641</v>
      </c>
      <c r="F421" s="49" t="s">
        <v>692</v>
      </c>
      <c r="G421" s="49">
        <v>3286</v>
      </c>
      <c r="H421" s="49" t="s">
        <v>698</v>
      </c>
      <c r="I421" s="49" t="s">
        <v>692</v>
      </c>
      <c r="J421" s="82">
        <v>171123</v>
      </c>
      <c r="K421" s="85">
        <v>25688.45</v>
      </c>
      <c r="L421" s="85">
        <v>145434.54999999999</v>
      </c>
      <c r="M421" s="65">
        <v>145434.54999999999</v>
      </c>
      <c r="N421" s="65">
        <v>0</v>
      </c>
      <c r="O421" s="65">
        <v>0</v>
      </c>
      <c r="P421" s="84">
        <f t="shared" si="14"/>
        <v>0.84988312500365226</v>
      </c>
      <c r="Q421" s="73"/>
      <c r="R421" s="73"/>
    </row>
    <row r="422" spans="1:18" customFormat="1" x14ac:dyDescent="0.3">
      <c r="A422" s="18" t="s">
        <v>7</v>
      </c>
      <c r="B422" s="18" t="s">
        <v>601</v>
      </c>
      <c r="C422" s="18">
        <v>570702</v>
      </c>
      <c r="D422" s="18" t="s">
        <v>621</v>
      </c>
      <c r="E422" s="118" t="s">
        <v>624</v>
      </c>
      <c r="F422" s="49" t="s">
        <v>692</v>
      </c>
      <c r="G422" s="49" t="s">
        <v>692</v>
      </c>
      <c r="H422" s="49" t="s">
        <v>692</v>
      </c>
      <c r="I422" s="49" t="s">
        <v>692</v>
      </c>
      <c r="J422" s="82">
        <v>108678.01</v>
      </c>
      <c r="K422" s="85">
        <v>0</v>
      </c>
      <c r="L422" s="85">
        <v>108678.01</v>
      </c>
      <c r="M422" s="65">
        <v>92376.308499999999</v>
      </c>
      <c r="N422" s="65">
        <v>16301.701499999996</v>
      </c>
      <c r="O422" s="65">
        <v>0</v>
      </c>
      <c r="P422" s="84">
        <f t="shared" si="14"/>
        <v>1</v>
      </c>
      <c r="Q422" s="73"/>
      <c r="R422" s="73"/>
    </row>
    <row r="423" spans="1:18" customFormat="1" x14ac:dyDescent="0.3">
      <c r="A423" s="18" t="s">
        <v>7</v>
      </c>
      <c r="B423" s="18" t="s">
        <v>601</v>
      </c>
      <c r="C423" s="18">
        <v>570702</v>
      </c>
      <c r="D423" s="18" t="s">
        <v>621</v>
      </c>
      <c r="E423" s="118" t="s">
        <v>67</v>
      </c>
      <c r="F423" s="49" t="s">
        <v>692</v>
      </c>
      <c r="G423" s="49" t="s">
        <v>692</v>
      </c>
      <c r="H423" s="49" t="s">
        <v>692</v>
      </c>
      <c r="I423" s="49" t="s">
        <v>692</v>
      </c>
      <c r="J423" s="82">
        <v>70204.39</v>
      </c>
      <c r="K423" s="85">
        <v>0</v>
      </c>
      <c r="L423" s="85">
        <v>70204.39</v>
      </c>
      <c r="M423" s="65">
        <v>59673.731499999994</v>
      </c>
      <c r="N423" s="65">
        <v>10530.658500000005</v>
      </c>
      <c r="O423" s="65">
        <v>0</v>
      </c>
      <c r="P423" s="84">
        <f t="shared" si="14"/>
        <v>1</v>
      </c>
      <c r="Q423" s="73"/>
      <c r="R423" s="73"/>
    </row>
    <row r="424" spans="1:18" customFormat="1" x14ac:dyDescent="0.3">
      <c r="A424" s="18" t="s">
        <v>7</v>
      </c>
      <c r="B424" s="18" t="s">
        <v>601</v>
      </c>
      <c r="C424" s="18">
        <v>570702</v>
      </c>
      <c r="D424" s="18" t="s">
        <v>621</v>
      </c>
      <c r="E424" s="118" t="s">
        <v>625</v>
      </c>
      <c r="F424" s="49" t="s">
        <v>692</v>
      </c>
      <c r="G424" s="49" t="s">
        <v>692</v>
      </c>
      <c r="H424" s="49" t="s">
        <v>692</v>
      </c>
      <c r="I424" s="49" t="s">
        <v>692</v>
      </c>
      <c r="J424" s="82">
        <v>54226.42</v>
      </c>
      <c r="K424" s="85">
        <v>0</v>
      </c>
      <c r="L424" s="85">
        <v>54226.42</v>
      </c>
      <c r="M424" s="65">
        <v>46092.456999999995</v>
      </c>
      <c r="N424" s="65">
        <v>8133.9630000000034</v>
      </c>
      <c r="O424" s="65">
        <v>0</v>
      </c>
      <c r="P424" s="84">
        <f t="shared" si="14"/>
        <v>1</v>
      </c>
      <c r="Q424" s="73"/>
      <c r="R424" s="73"/>
    </row>
    <row r="425" spans="1:18" customFormat="1" ht="44.35" x14ac:dyDescent="0.3">
      <c r="A425" s="18" t="s">
        <v>7</v>
      </c>
      <c r="B425" s="18" t="s">
        <v>601</v>
      </c>
      <c r="C425" s="18">
        <v>570702</v>
      </c>
      <c r="D425" s="18" t="s">
        <v>621</v>
      </c>
      <c r="E425" s="118" t="s">
        <v>626</v>
      </c>
      <c r="F425" s="49" t="s">
        <v>692</v>
      </c>
      <c r="G425" s="49" t="s">
        <v>692</v>
      </c>
      <c r="H425" s="49" t="s">
        <v>692</v>
      </c>
      <c r="I425" s="49" t="s">
        <v>692</v>
      </c>
      <c r="J425" s="82">
        <v>215094.69999999998</v>
      </c>
      <c r="K425" s="85">
        <v>0</v>
      </c>
      <c r="L425" s="85">
        <v>215094.69999999998</v>
      </c>
      <c r="M425" s="65">
        <v>182830.5</v>
      </c>
      <c r="N425" s="65">
        <f t="shared" ref="N425:N432" si="16">L425-M425</f>
        <v>32264.199999999983</v>
      </c>
      <c r="O425" s="65">
        <v>0</v>
      </c>
      <c r="P425" s="84">
        <f t="shared" si="14"/>
        <v>1</v>
      </c>
      <c r="Q425" s="73"/>
      <c r="R425" s="73"/>
    </row>
    <row r="426" spans="1:18" customFormat="1" x14ac:dyDescent="0.3">
      <c r="A426" s="18" t="s">
        <v>7</v>
      </c>
      <c r="B426" s="18" t="s">
        <v>601</v>
      </c>
      <c r="C426" s="18">
        <v>523544</v>
      </c>
      <c r="D426" s="18" t="s">
        <v>627</v>
      </c>
      <c r="E426" s="118" t="s">
        <v>612</v>
      </c>
      <c r="F426" s="11" t="s">
        <v>692</v>
      </c>
      <c r="G426" s="11" t="s">
        <v>692</v>
      </c>
      <c r="H426" s="11" t="s">
        <v>692</v>
      </c>
      <c r="I426" s="11" t="s">
        <v>692</v>
      </c>
      <c r="J426" s="85">
        <f>488000+5148</f>
        <v>493148</v>
      </c>
      <c r="K426" s="85">
        <v>0</v>
      </c>
      <c r="L426" s="85">
        <f>488000+5148</f>
        <v>493148</v>
      </c>
      <c r="M426" s="65">
        <f>L426*0.85</f>
        <v>419175.8</v>
      </c>
      <c r="N426" s="65">
        <f t="shared" si="16"/>
        <v>73972.200000000012</v>
      </c>
      <c r="O426" s="65">
        <v>0</v>
      </c>
      <c r="P426" s="84">
        <f t="shared" si="14"/>
        <v>1</v>
      </c>
      <c r="Q426" s="73"/>
      <c r="R426" s="73"/>
    </row>
    <row r="427" spans="1:18" customFormat="1" x14ac:dyDescent="0.3">
      <c r="A427" s="18" t="s">
        <v>7</v>
      </c>
      <c r="B427" s="18" t="s">
        <v>601</v>
      </c>
      <c r="C427" s="18">
        <v>523544</v>
      </c>
      <c r="D427" s="18" t="s">
        <v>627</v>
      </c>
      <c r="E427" s="117" t="s">
        <v>223</v>
      </c>
      <c r="F427" s="49" t="s">
        <v>692</v>
      </c>
      <c r="G427" s="49" t="s">
        <v>692</v>
      </c>
      <c r="H427" s="49" t="s">
        <v>692</v>
      </c>
      <c r="I427" s="49" t="s">
        <v>692</v>
      </c>
      <c r="J427" s="85">
        <f>320000-1570.9</f>
        <v>318429.09999999998</v>
      </c>
      <c r="K427" s="85">
        <v>0</v>
      </c>
      <c r="L427" s="85">
        <f>320000-1570.9</f>
        <v>318429.09999999998</v>
      </c>
      <c r="M427" s="65">
        <v>270664.74</v>
      </c>
      <c r="N427" s="65">
        <f t="shared" si="16"/>
        <v>47764.359999999986</v>
      </c>
      <c r="O427" s="65">
        <v>0</v>
      </c>
      <c r="P427" s="84">
        <f t="shared" si="14"/>
        <v>1</v>
      </c>
      <c r="Q427" s="73"/>
      <c r="R427" s="73"/>
    </row>
    <row r="428" spans="1:18" customFormat="1" x14ac:dyDescent="0.3">
      <c r="A428" s="18" t="s">
        <v>7</v>
      </c>
      <c r="B428" s="18" t="s">
        <v>601</v>
      </c>
      <c r="C428" s="18">
        <v>523544</v>
      </c>
      <c r="D428" s="18" t="s">
        <v>627</v>
      </c>
      <c r="E428" s="118" t="s">
        <v>628</v>
      </c>
      <c r="F428" s="18" t="s">
        <v>692</v>
      </c>
      <c r="G428" s="18" t="s">
        <v>692</v>
      </c>
      <c r="H428" s="18" t="s">
        <v>692</v>
      </c>
      <c r="I428" s="18" t="s">
        <v>692</v>
      </c>
      <c r="J428" s="85">
        <f>217710-11809.84</f>
        <v>205900.16</v>
      </c>
      <c r="K428" s="85">
        <v>0</v>
      </c>
      <c r="L428" s="85">
        <f>217710-11809.84</f>
        <v>205900.16</v>
      </c>
      <c r="M428" s="65">
        <f>L428*0.85</f>
        <v>175015.136</v>
      </c>
      <c r="N428" s="65">
        <f t="shared" si="16"/>
        <v>30885.024000000005</v>
      </c>
      <c r="O428" s="65">
        <v>0</v>
      </c>
      <c r="P428" s="84">
        <f t="shared" si="14"/>
        <v>1</v>
      </c>
      <c r="Q428" s="73"/>
      <c r="R428" s="73"/>
    </row>
    <row r="429" spans="1:18" customFormat="1" x14ac:dyDescent="0.3">
      <c r="A429" s="18" t="s">
        <v>7</v>
      </c>
      <c r="B429" s="18" t="s">
        <v>601</v>
      </c>
      <c r="C429" s="18">
        <v>523544</v>
      </c>
      <c r="D429" s="18" t="s">
        <v>627</v>
      </c>
      <c r="E429" s="131" t="s">
        <v>50</v>
      </c>
      <c r="F429" s="11" t="s">
        <v>692</v>
      </c>
      <c r="G429" s="11" t="s">
        <v>692</v>
      </c>
      <c r="H429" s="11" t="s">
        <v>692</v>
      </c>
      <c r="I429" s="11" t="s">
        <v>692</v>
      </c>
      <c r="J429" s="85">
        <f>120000+5784.46</f>
        <v>125784.46</v>
      </c>
      <c r="K429" s="85">
        <v>0</v>
      </c>
      <c r="L429" s="85">
        <f>120000+5784.46</f>
        <v>125784.46</v>
      </c>
      <c r="M429" s="65">
        <f>L429*0.85</f>
        <v>106916.791</v>
      </c>
      <c r="N429" s="65">
        <f t="shared" si="16"/>
        <v>18867.669000000009</v>
      </c>
      <c r="O429" s="65">
        <v>0</v>
      </c>
      <c r="P429" s="84">
        <f t="shared" si="14"/>
        <v>1</v>
      </c>
      <c r="Q429" s="73"/>
      <c r="R429" s="73"/>
    </row>
    <row r="430" spans="1:18" customFormat="1" x14ac:dyDescent="0.3">
      <c r="A430" s="11" t="s">
        <v>421</v>
      </c>
      <c r="B430" s="18" t="s">
        <v>601</v>
      </c>
      <c r="C430" s="11">
        <v>1503582</v>
      </c>
      <c r="D430" s="11" t="s">
        <v>629</v>
      </c>
      <c r="E430" s="117" t="s">
        <v>537</v>
      </c>
      <c r="F430" s="11" t="s">
        <v>692</v>
      </c>
      <c r="G430" s="11" t="s">
        <v>692</v>
      </c>
      <c r="H430" s="11" t="s">
        <v>692</v>
      </c>
      <c r="I430" s="11" t="s">
        <v>692</v>
      </c>
      <c r="J430" s="82">
        <f>303640.34-863.46</f>
        <v>302776.88</v>
      </c>
      <c r="K430" s="121">
        <v>0</v>
      </c>
      <c r="L430" s="82">
        <f>303640.34-863.46</f>
        <v>302776.88</v>
      </c>
      <c r="M430" s="64">
        <f>L430*0.85</f>
        <v>257360.348</v>
      </c>
      <c r="N430" s="64">
        <f t="shared" si="16"/>
        <v>45416.532000000007</v>
      </c>
      <c r="O430" s="65">
        <v>0</v>
      </c>
      <c r="P430" s="84">
        <f t="shared" si="14"/>
        <v>1</v>
      </c>
      <c r="Q430" s="73"/>
      <c r="R430" s="73"/>
    </row>
    <row r="431" spans="1:18" customFormat="1" x14ac:dyDescent="0.3">
      <c r="A431" s="11" t="s">
        <v>421</v>
      </c>
      <c r="B431" s="18" t="s">
        <v>601</v>
      </c>
      <c r="C431" s="11">
        <v>1503582</v>
      </c>
      <c r="D431" s="11" t="s">
        <v>629</v>
      </c>
      <c r="E431" s="117" t="s">
        <v>630</v>
      </c>
      <c r="F431" s="11" t="s">
        <v>692</v>
      </c>
      <c r="G431" s="11" t="s">
        <v>692</v>
      </c>
      <c r="H431" s="11" t="s">
        <v>692</v>
      </c>
      <c r="I431" s="11" t="s">
        <v>692</v>
      </c>
      <c r="J431" s="82">
        <f>136382.4-223.45</f>
        <v>136158.94999999998</v>
      </c>
      <c r="K431" s="121">
        <f>J431-L431</f>
        <v>20423.87999999999</v>
      </c>
      <c r="L431" s="121">
        <f>115925.04-189.97</f>
        <v>115735.06999999999</v>
      </c>
      <c r="M431" s="64">
        <f>L431</f>
        <v>115735.06999999999</v>
      </c>
      <c r="N431" s="65">
        <f t="shared" si="16"/>
        <v>0</v>
      </c>
      <c r="O431" s="65">
        <v>0</v>
      </c>
      <c r="P431" s="84">
        <f t="shared" si="14"/>
        <v>0.84999972458659534</v>
      </c>
      <c r="Q431" s="73"/>
      <c r="R431" s="73"/>
    </row>
    <row r="432" spans="1:18" customFormat="1" x14ac:dyDescent="0.3">
      <c r="A432" s="11" t="s">
        <v>421</v>
      </c>
      <c r="B432" s="18" t="s">
        <v>601</v>
      </c>
      <c r="C432" s="11">
        <v>1503582</v>
      </c>
      <c r="D432" s="11" t="s">
        <v>629</v>
      </c>
      <c r="E432" s="117" t="s">
        <v>631</v>
      </c>
      <c r="F432" s="11" t="s">
        <v>692</v>
      </c>
      <c r="G432" s="11" t="s">
        <v>692</v>
      </c>
      <c r="H432" s="11" t="s">
        <v>692</v>
      </c>
      <c r="I432" s="11" t="s">
        <v>692</v>
      </c>
      <c r="J432" s="82">
        <f>101040.4-6072.26</f>
        <v>94968.14</v>
      </c>
      <c r="K432" s="106">
        <v>0</v>
      </c>
      <c r="L432" s="82">
        <f>101040.4-6072.26</f>
        <v>94968.14</v>
      </c>
      <c r="M432" s="64">
        <f>L432*85/100</f>
        <v>80722.919000000009</v>
      </c>
      <c r="N432" s="64">
        <f t="shared" si="16"/>
        <v>14245.22099999999</v>
      </c>
      <c r="O432" s="65">
        <v>0</v>
      </c>
      <c r="P432" s="84">
        <f t="shared" si="14"/>
        <v>1</v>
      </c>
      <c r="Q432" s="73"/>
      <c r="R432" s="73"/>
    </row>
    <row r="433" spans="1:18" customFormat="1" x14ac:dyDescent="0.3">
      <c r="A433" s="11" t="s">
        <v>421</v>
      </c>
      <c r="B433" s="18" t="s">
        <v>601</v>
      </c>
      <c r="C433" s="11">
        <v>1529833</v>
      </c>
      <c r="D433" s="11" t="s">
        <v>632</v>
      </c>
      <c r="E433" s="117" t="s">
        <v>633</v>
      </c>
      <c r="F433" s="11" t="s">
        <v>692</v>
      </c>
      <c r="G433" s="11" t="s">
        <v>692</v>
      </c>
      <c r="H433" s="11" t="s">
        <v>692</v>
      </c>
      <c r="I433" s="11" t="s">
        <v>692</v>
      </c>
      <c r="J433" s="82">
        <v>735540</v>
      </c>
      <c r="K433" s="106">
        <v>0</v>
      </c>
      <c r="L433" s="106">
        <v>735540</v>
      </c>
      <c r="M433" s="64">
        <v>625209</v>
      </c>
      <c r="N433" s="64">
        <v>110331</v>
      </c>
      <c r="O433" s="65">
        <v>0</v>
      </c>
      <c r="P433" s="84">
        <f t="shared" si="14"/>
        <v>1</v>
      </c>
      <c r="Q433" s="73"/>
      <c r="R433" s="73"/>
    </row>
    <row r="434" spans="1:18" customFormat="1" x14ac:dyDescent="0.3">
      <c r="A434" s="11" t="s">
        <v>421</v>
      </c>
      <c r="B434" s="18" t="s">
        <v>601</v>
      </c>
      <c r="C434" s="11">
        <v>1534832</v>
      </c>
      <c r="D434" s="11" t="s">
        <v>634</v>
      </c>
      <c r="E434" s="117" t="s">
        <v>635</v>
      </c>
      <c r="F434" s="18" t="s">
        <v>692</v>
      </c>
      <c r="G434" s="18" t="s">
        <v>692</v>
      </c>
      <c r="H434" s="18" t="s">
        <v>692</v>
      </c>
      <c r="I434" s="18" t="s">
        <v>692</v>
      </c>
      <c r="J434" s="82">
        <v>796621.8</v>
      </c>
      <c r="K434" s="106">
        <v>0</v>
      </c>
      <c r="L434" s="106">
        <v>796621.8</v>
      </c>
      <c r="M434" s="64">
        <v>677128.53</v>
      </c>
      <c r="N434" s="64">
        <v>119493.27000000002</v>
      </c>
      <c r="O434" s="65">
        <v>0</v>
      </c>
      <c r="P434" s="84">
        <f t="shared" si="14"/>
        <v>1</v>
      </c>
      <c r="Q434" s="73"/>
      <c r="R434" s="73"/>
    </row>
    <row r="435" spans="1:18" customFormat="1" ht="44.35" x14ac:dyDescent="0.3">
      <c r="A435" s="11" t="s">
        <v>421</v>
      </c>
      <c r="B435" s="18" t="s">
        <v>601</v>
      </c>
      <c r="C435" s="11">
        <v>1534923</v>
      </c>
      <c r="D435" s="11" t="s">
        <v>636</v>
      </c>
      <c r="E435" s="131" t="s">
        <v>38</v>
      </c>
      <c r="F435" s="11" t="s">
        <v>692</v>
      </c>
      <c r="G435" s="11" t="s">
        <v>692</v>
      </c>
      <c r="H435" s="11" t="s">
        <v>692</v>
      </c>
      <c r="I435" s="11" t="s">
        <v>692</v>
      </c>
      <c r="J435" s="82">
        <f>257775.44-38403.76</f>
        <v>219371.68</v>
      </c>
      <c r="K435" s="106">
        <v>0</v>
      </c>
      <c r="L435" s="82">
        <f>257775.44-38403.76</f>
        <v>219371.68</v>
      </c>
      <c r="M435" s="64">
        <f>L435*0.85</f>
        <v>186465.92799999999</v>
      </c>
      <c r="N435" s="64">
        <f>L435-M435</f>
        <v>32905.752000000008</v>
      </c>
      <c r="O435" s="65">
        <v>0</v>
      </c>
      <c r="P435" s="84">
        <f t="shared" si="14"/>
        <v>1</v>
      </c>
      <c r="Q435" s="73"/>
      <c r="R435" s="73"/>
    </row>
    <row r="436" spans="1:18" customFormat="1" ht="29.55" x14ac:dyDescent="0.3">
      <c r="A436" s="11" t="s">
        <v>421</v>
      </c>
      <c r="B436" s="18" t="s">
        <v>601</v>
      </c>
      <c r="C436" s="11">
        <v>1534923</v>
      </c>
      <c r="D436" s="11" t="s">
        <v>636</v>
      </c>
      <c r="E436" s="117" t="s">
        <v>637</v>
      </c>
      <c r="F436" s="11" t="s">
        <v>692</v>
      </c>
      <c r="G436" s="11" t="s">
        <v>692</v>
      </c>
      <c r="H436" s="11" t="s">
        <v>692</v>
      </c>
      <c r="I436" s="11" t="s">
        <v>692</v>
      </c>
      <c r="J436" s="82">
        <f>151365-11454.88</f>
        <v>139910.12</v>
      </c>
      <c r="K436" s="106">
        <v>0</v>
      </c>
      <c r="L436" s="82">
        <f>151365-11454.88</f>
        <v>139910.12</v>
      </c>
      <c r="M436" s="64">
        <f>L436*0.85</f>
        <v>118923.602</v>
      </c>
      <c r="N436" s="64">
        <f>L436-M436</f>
        <v>20986.517999999996</v>
      </c>
      <c r="O436" s="65">
        <v>0</v>
      </c>
      <c r="P436" s="84">
        <f t="shared" si="14"/>
        <v>1</v>
      </c>
      <c r="Q436" s="73"/>
      <c r="R436" s="73"/>
    </row>
    <row r="437" spans="1:18" customFormat="1" x14ac:dyDescent="0.3">
      <c r="A437" s="11" t="s">
        <v>421</v>
      </c>
      <c r="B437" s="18" t="s">
        <v>601</v>
      </c>
      <c r="C437" s="11">
        <v>1534923</v>
      </c>
      <c r="D437" s="11" t="s">
        <v>636</v>
      </c>
      <c r="E437" s="117" t="s">
        <v>638</v>
      </c>
      <c r="F437" s="12" t="s">
        <v>692</v>
      </c>
      <c r="G437" s="12" t="s">
        <v>692</v>
      </c>
      <c r="H437" s="12" t="s">
        <v>692</v>
      </c>
      <c r="I437" s="12" t="s">
        <v>692</v>
      </c>
      <c r="J437" s="82">
        <f>155000-8057.19</f>
        <v>146942.81</v>
      </c>
      <c r="K437" s="106">
        <v>0</v>
      </c>
      <c r="L437" s="82">
        <f>155000-8057.19</f>
        <v>146942.81</v>
      </c>
      <c r="M437" s="64">
        <f>L437*0.85</f>
        <v>124901.3885</v>
      </c>
      <c r="N437" s="64">
        <f>L437-M437</f>
        <v>22041.421499999997</v>
      </c>
      <c r="O437" s="65">
        <v>0</v>
      </c>
      <c r="P437" s="84">
        <f t="shared" si="14"/>
        <v>1</v>
      </c>
      <c r="Q437" s="73"/>
      <c r="R437" s="73"/>
    </row>
    <row r="438" spans="1:18" customFormat="1" x14ac:dyDescent="0.3">
      <c r="A438" s="11" t="s">
        <v>100</v>
      </c>
      <c r="B438" s="12" t="s">
        <v>601</v>
      </c>
      <c r="C438" s="11">
        <v>1503582</v>
      </c>
      <c r="D438" s="12" t="s">
        <v>639</v>
      </c>
      <c r="E438" s="116" t="s">
        <v>136</v>
      </c>
      <c r="F438" s="49">
        <v>13008</v>
      </c>
      <c r="G438" s="49" t="s">
        <v>692</v>
      </c>
      <c r="H438" s="49" t="s">
        <v>692</v>
      </c>
      <c r="I438" s="49" t="s">
        <v>692</v>
      </c>
      <c r="J438" s="82">
        <f>69120-262.77</f>
        <v>68857.23</v>
      </c>
      <c r="K438" s="83">
        <v>0</v>
      </c>
      <c r="L438" s="82">
        <f>69120-262.77</f>
        <v>68857.23</v>
      </c>
      <c r="M438" s="64">
        <f>L438*0.85</f>
        <v>58528.645499999991</v>
      </c>
      <c r="N438" s="64">
        <f>L438-M438</f>
        <v>10328.584500000004</v>
      </c>
      <c r="O438" s="65">
        <v>0</v>
      </c>
      <c r="P438" s="84">
        <f t="shared" si="14"/>
        <v>1</v>
      </c>
      <c r="Q438" s="73"/>
      <c r="R438" s="73"/>
    </row>
    <row r="439" spans="1:18" customFormat="1" x14ac:dyDescent="0.3">
      <c r="A439" s="11" t="s">
        <v>100</v>
      </c>
      <c r="B439" s="12" t="s">
        <v>601</v>
      </c>
      <c r="C439" s="11">
        <v>1503582</v>
      </c>
      <c r="D439" s="12" t="s">
        <v>639</v>
      </c>
      <c r="E439" s="118" t="s">
        <v>510</v>
      </c>
      <c r="F439" s="12">
        <v>13008</v>
      </c>
      <c r="G439" s="12" t="s">
        <v>692</v>
      </c>
      <c r="H439" s="12" t="s">
        <v>692</v>
      </c>
      <c r="I439" s="12" t="s">
        <v>692</v>
      </c>
      <c r="J439" s="82">
        <f>21697.2-418.2</f>
        <v>21279</v>
      </c>
      <c r="K439" s="83">
        <f>J439-L439</f>
        <v>3191.8600000000006</v>
      </c>
      <c r="L439" s="83">
        <f>18442.62-355.48</f>
        <v>18087.14</v>
      </c>
      <c r="M439" s="64">
        <f>L439</f>
        <v>18087.14</v>
      </c>
      <c r="N439" s="65">
        <v>0</v>
      </c>
      <c r="O439" s="65">
        <v>0</v>
      </c>
      <c r="P439" s="84">
        <f t="shared" si="14"/>
        <v>0.84999953005310402</v>
      </c>
      <c r="Q439" s="73"/>
      <c r="R439" s="73"/>
    </row>
    <row r="440" spans="1:18" customFormat="1" x14ac:dyDescent="0.3">
      <c r="A440" s="11" t="s">
        <v>100</v>
      </c>
      <c r="B440" s="12" t="s">
        <v>601</v>
      </c>
      <c r="C440" s="18">
        <v>570702</v>
      </c>
      <c r="D440" s="12" t="s">
        <v>640</v>
      </c>
      <c r="E440" s="116" t="s">
        <v>126</v>
      </c>
      <c r="F440" s="12">
        <v>13008</v>
      </c>
      <c r="G440" s="12" t="s">
        <v>692</v>
      </c>
      <c r="H440" s="12" t="s">
        <v>692</v>
      </c>
      <c r="I440" s="12" t="s">
        <v>692</v>
      </c>
      <c r="J440" s="82">
        <f>92984.78+96.85</f>
        <v>93081.63</v>
      </c>
      <c r="K440" s="83">
        <f>J440-L440</f>
        <v>0</v>
      </c>
      <c r="L440" s="82">
        <f>92984.78+96.85</f>
        <v>93081.63</v>
      </c>
      <c r="M440" s="64">
        <f>L440*0.85</f>
        <v>79119.385500000004</v>
      </c>
      <c r="N440" s="64">
        <f>L440-M440</f>
        <v>13962.244500000001</v>
      </c>
      <c r="O440" s="65">
        <v>0</v>
      </c>
      <c r="P440" s="84">
        <f t="shared" si="14"/>
        <v>1</v>
      </c>
      <c r="Q440" s="73">
        <v>40.200000000000003</v>
      </c>
      <c r="R440" s="73">
        <v>40.200000000000003</v>
      </c>
    </row>
    <row r="441" spans="1:18" customFormat="1" x14ac:dyDescent="0.3">
      <c r="A441" s="11" t="s">
        <v>100</v>
      </c>
      <c r="B441" s="12" t="s">
        <v>601</v>
      </c>
      <c r="C441" s="18">
        <v>570702</v>
      </c>
      <c r="D441" s="12" t="s">
        <v>640</v>
      </c>
      <c r="E441" s="116" t="s">
        <v>641</v>
      </c>
      <c r="F441" s="12">
        <v>13008</v>
      </c>
      <c r="G441" s="12">
        <v>16755</v>
      </c>
      <c r="H441" s="12">
        <v>4902730</v>
      </c>
      <c r="I441" s="12">
        <v>1208948</v>
      </c>
      <c r="J441" s="82">
        <f>31000-682.41</f>
        <v>30317.59</v>
      </c>
      <c r="K441" s="83">
        <f>J441-L441</f>
        <v>4547.6399999999994</v>
      </c>
      <c r="L441" s="83">
        <f>26350-580.05</f>
        <v>25769.95</v>
      </c>
      <c r="M441" s="64">
        <f>L441</f>
        <v>25769.95</v>
      </c>
      <c r="N441" s="65">
        <v>0</v>
      </c>
      <c r="O441" s="65">
        <v>0</v>
      </c>
      <c r="P441" s="84">
        <f t="shared" si="14"/>
        <v>0.84999995052377186</v>
      </c>
      <c r="Q441" s="73">
        <v>66.647058823527701</v>
      </c>
      <c r="R441" s="73">
        <v>56.649999999998542</v>
      </c>
    </row>
    <row r="442" spans="1:18" customFormat="1" x14ac:dyDescent="0.3">
      <c r="A442" s="11" t="s">
        <v>100</v>
      </c>
      <c r="B442" s="12" t="s">
        <v>601</v>
      </c>
      <c r="C442" s="18">
        <v>570702</v>
      </c>
      <c r="D442" s="12" t="s">
        <v>640</v>
      </c>
      <c r="E442" s="116" t="s">
        <v>642</v>
      </c>
      <c r="F442" s="12">
        <v>13008</v>
      </c>
      <c r="G442" s="12" t="s">
        <v>692</v>
      </c>
      <c r="H442" s="12" t="s">
        <v>692</v>
      </c>
      <c r="I442" s="12" t="s">
        <v>692</v>
      </c>
      <c r="J442" s="82">
        <f>18020.21-96.85</f>
        <v>17923.36</v>
      </c>
      <c r="K442" s="83">
        <v>0</v>
      </c>
      <c r="L442" s="82">
        <f>18020.21-96.85</f>
        <v>17923.36</v>
      </c>
      <c r="M442" s="64">
        <f>L442*0.85</f>
        <v>15234.856</v>
      </c>
      <c r="N442" s="64">
        <f>L442-M442</f>
        <v>2688.5040000000008</v>
      </c>
      <c r="O442" s="65">
        <v>0</v>
      </c>
      <c r="P442" s="84">
        <f t="shared" si="14"/>
        <v>1</v>
      </c>
      <c r="Q442" s="73"/>
      <c r="R442" s="73"/>
    </row>
    <row r="443" spans="1:18" customFormat="1" x14ac:dyDescent="0.3">
      <c r="A443" s="11" t="s">
        <v>100</v>
      </c>
      <c r="B443" s="12" t="s">
        <v>601</v>
      </c>
      <c r="C443" s="18">
        <v>570702</v>
      </c>
      <c r="D443" s="12" t="s">
        <v>640</v>
      </c>
      <c r="E443" s="116" t="s">
        <v>625</v>
      </c>
      <c r="F443" s="12">
        <v>13008</v>
      </c>
      <c r="G443" s="12" t="s">
        <v>692</v>
      </c>
      <c r="H443" s="12" t="s">
        <v>692</v>
      </c>
      <c r="I443" s="12" t="s">
        <v>692</v>
      </c>
      <c r="J443" s="82">
        <v>7995</v>
      </c>
      <c r="K443" s="83">
        <v>0</v>
      </c>
      <c r="L443" s="83">
        <v>7995</v>
      </c>
      <c r="M443" s="64">
        <v>6795.75</v>
      </c>
      <c r="N443" s="64">
        <v>1199.25</v>
      </c>
      <c r="O443" s="65">
        <v>0</v>
      </c>
      <c r="P443" s="84">
        <f t="shared" si="14"/>
        <v>1</v>
      </c>
      <c r="Q443" s="73"/>
      <c r="R443" s="73"/>
    </row>
    <row r="444" spans="1:18" customFormat="1" x14ac:dyDescent="0.3">
      <c r="A444" s="11" t="s">
        <v>100</v>
      </c>
      <c r="B444" s="12" t="s">
        <v>601</v>
      </c>
      <c r="C444" s="18">
        <v>475062</v>
      </c>
      <c r="D444" s="12" t="s">
        <v>618</v>
      </c>
      <c r="E444" s="116" t="s">
        <v>643</v>
      </c>
      <c r="F444" s="12">
        <v>13008</v>
      </c>
      <c r="G444" s="12" t="s">
        <v>692</v>
      </c>
      <c r="H444" s="12" t="s">
        <v>692</v>
      </c>
      <c r="I444" s="12" t="s">
        <v>692</v>
      </c>
      <c r="J444" s="82">
        <f>61500-0.79</f>
        <v>61499.21</v>
      </c>
      <c r="K444" s="83">
        <v>0</v>
      </c>
      <c r="L444" s="82">
        <f>61500-0.79</f>
        <v>61499.21</v>
      </c>
      <c r="M444" s="64">
        <f>L444*0.85</f>
        <v>52274.328499999996</v>
      </c>
      <c r="N444" s="64">
        <f>L444-M444</f>
        <v>9224.8815000000031</v>
      </c>
      <c r="O444" s="65">
        <v>0</v>
      </c>
      <c r="P444" s="84">
        <f t="shared" si="14"/>
        <v>1</v>
      </c>
      <c r="Q444" s="73"/>
      <c r="R444" s="73"/>
    </row>
    <row r="445" spans="1:18" customFormat="1" x14ac:dyDescent="0.3">
      <c r="A445" s="11" t="s">
        <v>100</v>
      </c>
      <c r="B445" s="12" t="s">
        <v>601</v>
      </c>
      <c r="C445" s="18">
        <v>475062</v>
      </c>
      <c r="D445" s="12" t="s">
        <v>618</v>
      </c>
      <c r="E445" s="116" t="s">
        <v>126</v>
      </c>
      <c r="F445" s="18">
        <v>13008</v>
      </c>
      <c r="G445" s="18" t="s">
        <v>692</v>
      </c>
      <c r="H445" s="18" t="s">
        <v>692</v>
      </c>
      <c r="I445" s="18" t="s">
        <v>692</v>
      </c>
      <c r="J445" s="82">
        <v>73500</v>
      </c>
      <c r="K445" s="83">
        <v>0</v>
      </c>
      <c r="L445" s="83">
        <v>73500</v>
      </c>
      <c r="M445" s="64">
        <v>62475</v>
      </c>
      <c r="N445" s="64">
        <v>11025</v>
      </c>
      <c r="O445" s="65">
        <v>0</v>
      </c>
      <c r="P445" s="84">
        <f t="shared" si="14"/>
        <v>1</v>
      </c>
      <c r="Q445" s="73"/>
      <c r="R445" s="73"/>
    </row>
    <row r="446" spans="1:18" customFormat="1" x14ac:dyDescent="0.3">
      <c r="A446" s="11" t="s">
        <v>100</v>
      </c>
      <c r="B446" s="12" t="s">
        <v>601</v>
      </c>
      <c r="C446" s="18">
        <v>475062</v>
      </c>
      <c r="D446" s="12" t="s">
        <v>618</v>
      </c>
      <c r="E446" s="131" t="s">
        <v>50</v>
      </c>
      <c r="F446" s="12">
        <v>13008</v>
      </c>
      <c r="G446" s="12" t="s">
        <v>692</v>
      </c>
      <c r="H446" s="12" t="s">
        <v>692</v>
      </c>
      <c r="I446" s="12" t="s">
        <v>692</v>
      </c>
      <c r="J446" s="82">
        <v>15000</v>
      </c>
      <c r="K446" s="83">
        <v>0</v>
      </c>
      <c r="L446" s="83">
        <v>15000</v>
      </c>
      <c r="M446" s="64">
        <v>12750</v>
      </c>
      <c r="N446" s="64">
        <v>2250</v>
      </c>
      <c r="O446" s="65">
        <v>0</v>
      </c>
      <c r="P446" s="84">
        <f t="shared" si="14"/>
        <v>1</v>
      </c>
      <c r="Q446" s="73"/>
      <c r="R446" s="73"/>
    </row>
    <row r="447" spans="1:18" customFormat="1" x14ac:dyDescent="0.3">
      <c r="A447" s="11" t="s">
        <v>100</v>
      </c>
      <c r="B447" s="12" t="s">
        <v>601</v>
      </c>
      <c r="C447" s="18">
        <v>607386</v>
      </c>
      <c r="D447" s="12" t="s">
        <v>602</v>
      </c>
      <c r="E447" s="116" t="s">
        <v>644</v>
      </c>
      <c r="F447" s="12">
        <v>13008</v>
      </c>
      <c r="G447" s="12" t="s">
        <v>692</v>
      </c>
      <c r="H447" s="12" t="s">
        <v>692</v>
      </c>
      <c r="I447" s="12" t="s">
        <v>692</v>
      </c>
      <c r="J447" s="82">
        <f>67650-3.4</f>
        <v>67646.600000000006</v>
      </c>
      <c r="K447" s="83">
        <v>0</v>
      </c>
      <c r="L447" s="82">
        <f>67650-3.4</f>
        <v>67646.600000000006</v>
      </c>
      <c r="M447" s="67">
        <f>L447*0.85</f>
        <v>57499.61</v>
      </c>
      <c r="N447" s="67">
        <f t="shared" ref="N447:N452" si="17">L447-M447</f>
        <v>10146.990000000005</v>
      </c>
      <c r="O447" s="65">
        <v>0</v>
      </c>
      <c r="P447" s="84">
        <f t="shared" si="14"/>
        <v>1</v>
      </c>
      <c r="Q447" s="73"/>
      <c r="R447" s="73"/>
    </row>
    <row r="448" spans="1:18" customFormat="1" ht="29.55" x14ac:dyDescent="0.3">
      <c r="A448" s="11" t="s">
        <v>100</v>
      </c>
      <c r="B448" s="12" t="s">
        <v>601</v>
      </c>
      <c r="C448" s="18">
        <v>607386</v>
      </c>
      <c r="D448" s="12" t="s">
        <v>602</v>
      </c>
      <c r="E448" s="116" t="s">
        <v>604</v>
      </c>
      <c r="F448" s="18">
        <v>13008</v>
      </c>
      <c r="G448" s="18">
        <v>16755</v>
      </c>
      <c r="H448" s="18">
        <v>4902978</v>
      </c>
      <c r="I448" s="18" t="s">
        <v>692</v>
      </c>
      <c r="J448" s="82">
        <v>59040</v>
      </c>
      <c r="K448" s="83">
        <v>8856</v>
      </c>
      <c r="L448" s="83">
        <v>50184</v>
      </c>
      <c r="M448" s="64">
        <f>L448</f>
        <v>50184</v>
      </c>
      <c r="N448" s="67">
        <f t="shared" si="17"/>
        <v>0</v>
      </c>
      <c r="O448" s="65">
        <v>0</v>
      </c>
      <c r="P448" s="84">
        <f t="shared" si="14"/>
        <v>0.85</v>
      </c>
      <c r="Q448" s="73"/>
      <c r="R448" s="73"/>
    </row>
    <row r="449" spans="1:18" customFormat="1" x14ac:dyDescent="0.3">
      <c r="A449" s="11" t="s">
        <v>100</v>
      </c>
      <c r="B449" s="12" t="s">
        <v>601</v>
      </c>
      <c r="C449" s="18">
        <v>607386</v>
      </c>
      <c r="D449" s="12" t="s">
        <v>602</v>
      </c>
      <c r="E449" s="131" t="s">
        <v>607</v>
      </c>
      <c r="F449" s="18">
        <v>13008</v>
      </c>
      <c r="G449" s="18">
        <v>16755</v>
      </c>
      <c r="H449" s="18">
        <v>4903101</v>
      </c>
      <c r="I449" s="18" t="s">
        <v>692</v>
      </c>
      <c r="J449" s="82">
        <v>12300</v>
      </c>
      <c r="K449" s="83">
        <v>1845</v>
      </c>
      <c r="L449" s="83">
        <v>10455</v>
      </c>
      <c r="M449" s="64">
        <f>L449</f>
        <v>10455</v>
      </c>
      <c r="N449" s="67">
        <f t="shared" si="17"/>
        <v>0</v>
      </c>
      <c r="O449" s="65">
        <v>0</v>
      </c>
      <c r="P449" s="84">
        <f t="shared" si="14"/>
        <v>0.85</v>
      </c>
      <c r="Q449" s="73"/>
      <c r="R449" s="73"/>
    </row>
    <row r="450" spans="1:18" customFormat="1" ht="44.35" x14ac:dyDescent="0.3">
      <c r="A450" s="11" t="s">
        <v>100</v>
      </c>
      <c r="B450" s="12" t="s">
        <v>601</v>
      </c>
      <c r="C450" s="12">
        <v>1534923</v>
      </c>
      <c r="D450" s="12" t="s">
        <v>645</v>
      </c>
      <c r="E450" s="131" t="s">
        <v>38</v>
      </c>
      <c r="F450" s="12">
        <v>13008</v>
      </c>
      <c r="G450" s="12" t="s">
        <v>692</v>
      </c>
      <c r="H450" s="12" t="s">
        <v>692</v>
      </c>
      <c r="I450" s="12" t="s">
        <v>692</v>
      </c>
      <c r="J450" s="83">
        <f>31294.96-28.7</f>
        <v>31266.26</v>
      </c>
      <c r="K450" s="83">
        <v>0</v>
      </c>
      <c r="L450" s="83">
        <f>31294.96-28.7</f>
        <v>31266.26</v>
      </c>
      <c r="M450" s="64">
        <f>L450*0.85</f>
        <v>26576.320999999996</v>
      </c>
      <c r="N450" s="65">
        <f t="shared" si="17"/>
        <v>4689.9390000000021</v>
      </c>
      <c r="O450" s="65">
        <v>0</v>
      </c>
      <c r="P450" s="84">
        <f t="shared" si="14"/>
        <v>1</v>
      </c>
      <c r="Q450" s="73"/>
      <c r="R450" s="73"/>
    </row>
    <row r="451" spans="1:18" customFormat="1" x14ac:dyDescent="0.3">
      <c r="A451" s="11" t="s">
        <v>100</v>
      </c>
      <c r="B451" s="12" t="s">
        <v>601</v>
      </c>
      <c r="C451" s="12">
        <v>1534923</v>
      </c>
      <c r="D451" s="12" t="s">
        <v>645</v>
      </c>
      <c r="E451" s="116" t="s">
        <v>638</v>
      </c>
      <c r="F451" s="12">
        <v>13008</v>
      </c>
      <c r="G451" s="12" t="s">
        <v>692</v>
      </c>
      <c r="H451" s="12" t="s">
        <v>692</v>
      </c>
      <c r="I451" s="12" t="s">
        <v>692</v>
      </c>
      <c r="J451" s="107">
        <f>44999.9-2250</f>
        <v>42749.9</v>
      </c>
      <c r="K451" s="83">
        <v>0</v>
      </c>
      <c r="L451" s="107">
        <f>44999.9-2250</f>
        <v>42749.9</v>
      </c>
      <c r="M451" s="64">
        <v>36337.42</v>
      </c>
      <c r="N451" s="65">
        <f t="shared" si="17"/>
        <v>6412.4800000000032</v>
      </c>
      <c r="O451" s="65">
        <v>0</v>
      </c>
      <c r="P451" s="84">
        <f t="shared" ref="P451:P514" si="18">L451/J451</f>
        <v>1</v>
      </c>
      <c r="Q451" s="73"/>
      <c r="R451" s="73"/>
    </row>
    <row r="452" spans="1:18" customFormat="1" x14ac:dyDescent="0.3">
      <c r="A452" s="11" t="s">
        <v>100</v>
      </c>
      <c r="B452" s="12" t="s">
        <v>601</v>
      </c>
      <c r="C452" s="12">
        <v>1534923</v>
      </c>
      <c r="D452" s="12" t="s">
        <v>645</v>
      </c>
      <c r="E452" s="116" t="s">
        <v>646</v>
      </c>
      <c r="F452" s="12">
        <v>13008</v>
      </c>
      <c r="G452" s="12" t="s">
        <v>692</v>
      </c>
      <c r="H452" s="12" t="s">
        <v>692</v>
      </c>
      <c r="I452" s="12" t="s">
        <v>692</v>
      </c>
      <c r="J452" s="83">
        <f>35776.38-4750</f>
        <v>31026.379999999997</v>
      </c>
      <c r="K452" s="83">
        <v>0</v>
      </c>
      <c r="L452" s="83">
        <f>35776.38-4750</f>
        <v>31026.379999999997</v>
      </c>
      <c r="M452" s="64">
        <f>L452*0.85</f>
        <v>26372.422999999999</v>
      </c>
      <c r="N452" s="65">
        <f t="shared" si="17"/>
        <v>4653.9569999999985</v>
      </c>
      <c r="O452" s="65">
        <v>0</v>
      </c>
      <c r="P452" s="84">
        <f t="shared" si="18"/>
        <v>1</v>
      </c>
      <c r="Q452" s="73"/>
      <c r="R452" s="73"/>
    </row>
    <row r="453" spans="1:18" customFormat="1" x14ac:dyDescent="0.3">
      <c r="A453" s="50" t="s">
        <v>123</v>
      </c>
      <c r="B453" s="11" t="s">
        <v>164</v>
      </c>
      <c r="C453" s="50">
        <v>3775087</v>
      </c>
      <c r="D453" s="50" t="s">
        <v>700</v>
      </c>
      <c r="E453" s="116" t="s">
        <v>673</v>
      </c>
      <c r="F453" s="50" t="s">
        <v>692</v>
      </c>
      <c r="G453" s="50" t="s">
        <v>692</v>
      </c>
      <c r="H453" s="50" t="s">
        <v>692</v>
      </c>
      <c r="I453" s="50" t="s">
        <v>692</v>
      </c>
      <c r="J453" s="67">
        <v>100122</v>
      </c>
      <c r="K453" s="67">
        <v>0</v>
      </c>
      <c r="L453" s="67">
        <v>100122</v>
      </c>
      <c r="M453" s="67">
        <v>84595.773045893264</v>
      </c>
      <c r="N453" s="67">
        <v>15526.226954106736</v>
      </c>
      <c r="O453" s="65">
        <v>0</v>
      </c>
      <c r="P453" s="84">
        <f t="shared" si="18"/>
        <v>1</v>
      </c>
      <c r="Q453" s="73"/>
      <c r="R453" s="73"/>
    </row>
    <row r="454" spans="1:18" customFormat="1" x14ac:dyDescent="0.3">
      <c r="A454" s="50" t="s">
        <v>123</v>
      </c>
      <c r="B454" s="11" t="s">
        <v>164</v>
      </c>
      <c r="C454" s="50">
        <v>3775087</v>
      </c>
      <c r="D454" s="50" t="s">
        <v>700</v>
      </c>
      <c r="E454" s="122" t="s">
        <v>357</v>
      </c>
      <c r="F454" s="50" t="s">
        <v>692</v>
      </c>
      <c r="G454" s="50" t="s">
        <v>692</v>
      </c>
      <c r="H454" s="50" t="s">
        <v>692</v>
      </c>
      <c r="I454" s="50" t="s">
        <v>692</v>
      </c>
      <c r="J454" s="67">
        <v>22140</v>
      </c>
      <c r="K454" s="67">
        <v>3433.32</v>
      </c>
      <c r="L454" s="67">
        <v>18706.68</v>
      </c>
      <c r="M454" s="67">
        <v>18706.68</v>
      </c>
      <c r="N454" s="67">
        <v>0</v>
      </c>
      <c r="O454" s="65">
        <v>0</v>
      </c>
      <c r="P454" s="84">
        <f t="shared" si="18"/>
        <v>0.84492682926829266</v>
      </c>
      <c r="Q454" s="73"/>
      <c r="R454" s="73"/>
    </row>
    <row r="455" spans="1:18" customFormat="1" x14ac:dyDescent="0.3">
      <c r="A455" s="50" t="s">
        <v>123</v>
      </c>
      <c r="B455" s="11" t="s">
        <v>164</v>
      </c>
      <c r="C455" s="50">
        <v>3775087</v>
      </c>
      <c r="D455" s="50" t="s">
        <v>700</v>
      </c>
      <c r="E455" s="122" t="s">
        <v>127</v>
      </c>
      <c r="F455" s="12" t="s">
        <v>692</v>
      </c>
      <c r="G455" s="12" t="s">
        <v>692</v>
      </c>
      <c r="H455" s="12" t="s">
        <v>692</v>
      </c>
      <c r="I455" s="12" t="s">
        <v>692</v>
      </c>
      <c r="J455" s="67">
        <v>34440</v>
      </c>
      <c r="K455" s="67">
        <v>0</v>
      </c>
      <c r="L455" s="67">
        <v>34440</v>
      </c>
      <c r="M455" s="67">
        <v>29099.283111609479</v>
      </c>
      <c r="N455" s="67">
        <v>5340.7168883905215</v>
      </c>
      <c r="O455" s="65">
        <v>0</v>
      </c>
      <c r="P455" s="84">
        <f t="shared" si="18"/>
        <v>1</v>
      </c>
      <c r="Q455" s="73"/>
      <c r="R455" s="73"/>
    </row>
    <row r="456" spans="1:18" customFormat="1" x14ac:dyDescent="0.3">
      <c r="A456" s="50" t="s">
        <v>123</v>
      </c>
      <c r="B456" s="11" t="s">
        <v>164</v>
      </c>
      <c r="C456" s="50">
        <v>3775087</v>
      </c>
      <c r="D456" s="50" t="s">
        <v>700</v>
      </c>
      <c r="E456" s="116" t="s">
        <v>674</v>
      </c>
      <c r="F456" s="50" t="s">
        <v>692</v>
      </c>
      <c r="G456" s="50" t="s">
        <v>692</v>
      </c>
      <c r="H456" s="50" t="s">
        <v>692</v>
      </c>
      <c r="I456" s="50" t="s">
        <v>692</v>
      </c>
      <c r="J456" s="67">
        <v>35055</v>
      </c>
      <c r="K456" s="67">
        <v>0</v>
      </c>
      <c r="L456" s="67">
        <v>35055</v>
      </c>
      <c r="M456" s="67">
        <v>29618.913167173934</v>
      </c>
      <c r="N456" s="67">
        <v>5436.0868328260658</v>
      </c>
      <c r="O456" s="65">
        <v>0</v>
      </c>
      <c r="P456" s="84">
        <f t="shared" si="18"/>
        <v>1</v>
      </c>
      <c r="Q456" s="73"/>
      <c r="R456" s="73"/>
    </row>
    <row r="457" spans="1:18" customFormat="1" x14ac:dyDescent="0.3">
      <c r="A457" s="50" t="s">
        <v>123</v>
      </c>
      <c r="B457" s="11" t="s">
        <v>164</v>
      </c>
      <c r="C457" s="50">
        <v>3775087</v>
      </c>
      <c r="D457" s="50" t="s">
        <v>700</v>
      </c>
      <c r="E457" s="122" t="s">
        <v>126</v>
      </c>
      <c r="F457" s="50" t="s">
        <v>692</v>
      </c>
      <c r="G457" s="50" t="s">
        <v>692</v>
      </c>
      <c r="H457" s="50" t="s">
        <v>692</v>
      </c>
      <c r="I457" s="50" t="s">
        <v>692</v>
      </c>
      <c r="J457" s="67">
        <v>5040</v>
      </c>
      <c r="K457" s="67">
        <v>0</v>
      </c>
      <c r="L457" s="67">
        <v>5040</v>
      </c>
      <c r="M457" s="67">
        <v>4258.4316748696801</v>
      </c>
      <c r="N457" s="67">
        <v>781.56832513031986</v>
      </c>
      <c r="O457" s="65">
        <v>0</v>
      </c>
      <c r="P457" s="84">
        <f t="shared" si="18"/>
        <v>1</v>
      </c>
      <c r="Q457" s="73"/>
      <c r="R457" s="73"/>
    </row>
    <row r="458" spans="1:18" customFormat="1" x14ac:dyDescent="0.3">
      <c r="A458" s="50" t="s">
        <v>123</v>
      </c>
      <c r="B458" s="11" t="s">
        <v>164</v>
      </c>
      <c r="C458" s="50">
        <v>3775087</v>
      </c>
      <c r="D458" s="50" t="s">
        <v>700</v>
      </c>
      <c r="E458" s="122" t="s">
        <v>168</v>
      </c>
      <c r="F458" s="29" t="s">
        <v>692</v>
      </c>
      <c r="G458" s="29" t="s">
        <v>692</v>
      </c>
      <c r="H458" s="29" t="s">
        <v>692</v>
      </c>
      <c r="I458" s="29" t="s">
        <v>692</v>
      </c>
      <c r="J458" s="67">
        <v>5040</v>
      </c>
      <c r="K458" s="67">
        <v>0</v>
      </c>
      <c r="L458" s="67">
        <v>5040</v>
      </c>
      <c r="M458" s="67">
        <v>4258.4316748696801</v>
      </c>
      <c r="N458" s="67">
        <v>781.56832513031986</v>
      </c>
      <c r="O458" s="65">
        <v>0</v>
      </c>
      <c r="P458" s="84">
        <f t="shared" si="18"/>
        <v>1</v>
      </c>
      <c r="Q458" s="73"/>
      <c r="R458" s="73"/>
    </row>
    <row r="459" spans="1:18" customFormat="1" ht="20.95" customHeight="1" x14ac:dyDescent="0.3">
      <c r="A459" s="15" t="s">
        <v>123</v>
      </c>
      <c r="B459" s="12" t="s">
        <v>5</v>
      </c>
      <c r="C459" s="29">
        <v>3774050</v>
      </c>
      <c r="D459" s="29" t="s">
        <v>122</v>
      </c>
      <c r="E459" s="133" t="s">
        <v>124</v>
      </c>
      <c r="F459" s="12" t="s">
        <v>692</v>
      </c>
      <c r="G459" s="12">
        <v>23650</v>
      </c>
      <c r="H459" s="12">
        <v>9257060</v>
      </c>
      <c r="I459" s="12">
        <v>1221617</v>
      </c>
      <c r="J459" s="64">
        <v>138691</v>
      </c>
      <c r="K459" s="64">
        <v>21299.05</v>
      </c>
      <c r="L459" s="64">
        <v>117391.95</v>
      </c>
      <c r="M459" s="64">
        <v>117391.95</v>
      </c>
      <c r="N459" s="64">
        <v>0</v>
      </c>
      <c r="O459" s="65">
        <v>0</v>
      </c>
      <c r="P459" s="84">
        <f t="shared" si="18"/>
        <v>0.84642803065808159</v>
      </c>
      <c r="Q459" s="73"/>
      <c r="R459" s="73"/>
    </row>
    <row r="460" spans="1:18" customFormat="1" x14ac:dyDescent="0.3">
      <c r="A460" s="11" t="s">
        <v>123</v>
      </c>
      <c r="B460" s="12" t="s">
        <v>601</v>
      </c>
      <c r="C460" s="12">
        <v>3687357</v>
      </c>
      <c r="D460" s="12" t="s">
        <v>647</v>
      </c>
      <c r="E460" s="116" t="s">
        <v>126</v>
      </c>
      <c r="F460" s="12" t="s">
        <v>692</v>
      </c>
      <c r="G460" s="12" t="s">
        <v>692</v>
      </c>
      <c r="H460" s="12" t="s">
        <v>692</v>
      </c>
      <c r="I460" s="12" t="s">
        <v>692</v>
      </c>
      <c r="J460" s="64">
        <v>80053.539999999994</v>
      </c>
      <c r="K460" s="64">
        <v>0</v>
      </c>
      <c r="L460" s="64">
        <v>80053.539999999994</v>
      </c>
      <c r="M460" s="64">
        <v>68045.506540595146</v>
      </c>
      <c r="N460" s="64">
        <v>12008.033459404847</v>
      </c>
      <c r="O460" s="65">
        <v>0</v>
      </c>
      <c r="P460" s="84">
        <f t="shared" si="18"/>
        <v>1</v>
      </c>
      <c r="Q460" s="73"/>
      <c r="R460" s="73"/>
    </row>
    <row r="461" spans="1:18" customFormat="1" x14ac:dyDescent="0.3">
      <c r="A461" s="11" t="s">
        <v>123</v>
      </c>
      <c r="B461" s="12" t="s">
        <v>601</v>
      </c>
      <c r="C461" s="12">
        <v>3687357</v>
      </c>
      <c r="D461" s="12" t="s">
        <v>647</v>
      </c>
      <c r="E461" s="116" t="s">
        <v>132</v>
      </c>
      <c r="F461" s="12" t="s">
        <v>692</v>
      </c>
      <c r="G461" s="12" t="s">
        <v>692</v>
      </c>
      <c r="H461" s="12" t="s">
        <v>692</v>
      </c>
      <c r="I461" s="12" t="s">
        <v>692</v>
      </c>
      <c r="J461" s="64">
        <v>50035.86</v>
      </c>
      <c r="K461" s="64">
        <v>0</v>
      </c>
      <c r="L461" s="64">
        <v>50035.86</v>
      </c>
      <c r="M461" s="64">
        <v>42530.479462798314</v>
      </c>
      <c r="N461" s="64">
        <v>7505.3805372016868</v>
      </c>
      <c r="O461" s="65">
        <v>0</v>
      </c>
      <c r="P461" s="84">
        <f t="shared" si="18"/>
        <v>1</v>
      </c>
      <c r="Q461" s="73"/>
      <c r="R461" s="73"/>
    </row>
    <row r="462" spans="1:18" customFormat="1" x14ac:dyDescent="0.3">
      <c r="A462" s="11" t="s">
        <v>123</v>
      </c>
      <c r="B462" s="12" t="s">
        <v>601</v>
      </c>
      <c r="C462" s="12">
        <v>3687357</v>
      </c>
      <c r="D462" s="12" t="s">
        <v>647</v>
      </c>
      <c r="E462" s="116" t="s">
        <v>371</v>
      </c>
      <c r="F462" s="12" t="s">
        <v>692</v>
      </c>
      <c r="G462" s="12" t="s">
        <v>692</v>
      </c>
      <c r="H462" s="12" t="s">
        <v>692</v>
      </c>
      <c r="I462" s="12" t="s">
        <v>692</v>
      </c>
      <c r="J462" s="64">
        <v>49815</v>
      </c>
      <c r="K462" s="64">
        <v>0</v>
      </c>
      <c r="L462" s="64">
        <v>49815</v>
      </c>
      <c r="M462" s="64">
        <v>42342.748469583574</v>
      </c>
      <c r="N462" s="64">
        <v>7472.2515304164262</v>
      </c>
      <c r="O462" s="65">
        <v>0</v>
      </c>
      <c r="P462" s="84">
        <f t="shared" si="18"/>
        <v>1</v>
      </c>
      <c r="Q462" s="73"/>
      <c r="R462" s="73"/>
    </row>
    <row r="463" spans="1:18" customFormat="1" x14ac:dyDescent="0.3">
      <c r="A463" s="11" t="s">
        <v>123</v>
      </c>
      <c r="B463" s="12" t="s">
        <v>601</v>
      </c>
      <c r="C463" s="12">
        <v>3687357</v>
      </c>
      <c r="D463" s="12" t="s">
        <v>647</v>
      </c>
      <c r="E463" s="116" t="s">
        <v>127</v>
      </c>
      <c r="F463" s="29" t="s">
        <v>692</v>
      </c>
      <c r="G463" s="29" t="s">
        <v>692</v>
      </c>
      <c r="H463" s="29" t="s">
        <v>692</v>
      </c>
      <c r="I463" s="29" t="s">
        <v>692</v>
      </c>
      <c r="J463" s="64">
        <v>20300</v>
      </c>
      <c r="K463" s="64">
        <v>0</v>
      </c>
      <c r="L463" s="64">
        <v>20300</v>
      </c>
      <c r="M463" s="64">
        <v>17254.999376343399</v>
      </c>
      <c r="N463" s="64">
        <v>3045.0006236566005</v>
      </c>
      <c r="O463" s="65">
        <v>0</v>
      </c>
      <c r="P463" s="84">
        <f t="shared" si="18"/>
        <v>1</v>
      </c>
      <c r="Q463" s="73"/>
      <c r="R463" s="73"/>
    </row>
    <row r="464" spans="1:18" customFormat="1" x14ac:dyDescent="0.3">
      <c r="A464" s="15" t="s">
        <v>123</v>
      </c>
      <c r="B464" s="12" t="s">
        <v>5</v>
      </c>
      <c r="C464" s="29">
        <v>3812746</v>
      </c>
      <c r="D464" s="29" t="s">
        <v>125</v>
      </c>
      <c r="E464" s="133" t="s">
        <v>126</v>
      </c>
      <c r="F464" s="29" t="s">
        <v>692</v>
      </c>
      <c r="G464" s="29" t="s">
        <v>692</v>
      </c>
      <c r="H464" s="29" t="s">
        <v>692</v>
      </c>
      <c r="I464" s="29" t="s">
        <v>692</v>
      </c>
      <c r="J464" s="64">
        <v>149982</v>
      </c>
      <c r="K464" s="64">
        <v>0</v>
      </c>
      <c r="L464" s="64">
        <v>149982</v>
      </c>
      <c r="M464" s="64">
        <v>126948.97394569189</v>
      </c>
      <c r="N464" s="64">
        <v>23033.026054308109</v>
      </c>
      <c r="O464" s="65">
        <v>0</v>
      </c>
      <c r="P464" s="84">
        <f t="shared" si="18"/>
        <v>1</v>
      </c>
      <c r="Q464" s="73"/>
      <c r="R464" s="73"/>
    </row>
    <row r="465" spans="1:18" customFormat="1" x14ac:dyDescent="0.3">
      <c r="A465" s="15" t="s">
        <v>123</v>
      </c>
      <c r="B465" s="12" t="s">
        <v>5</v>
      </c>
      <c r="C465" s="29">
        <v>3812746</v>
      </c>
      <c r="D465" s="29" t="s">
        <v>125</v>
      </c>
      <c r="E465" s="133" t="s">
        <v>127</v>
      </c>
      <c r="F465" s="29" t="s">
        <v>692</v>
      </c>
      <c r="G465" s="29" t="s">
        <v>692</v>
      </c>
      <c r="H465" s="29" t="s">
        <v>692</v>
      </c>
      <c r="I465" s="29" t="s">
        <v>692</v>
      </c>
      <c r="J465" s="64">
        <v>50400</v>
      </c>
      <c r="K465" s="64">
        <v>0</v>
      </c>
      <c r="L465" s="64">
        <v>50400</v>
      </c>
      <c r="M465" s="64">
        <v>42659.974442685598</v>
      </c>
      <c r="N465" s="64">
        <v>7740.0255573144022</v>
      </c>
      <c r="O465" s="65">
        <v>0</v>
      </c>
      <c r="P465" s="84">
        <f t="shared" si="18"/>
        <v>1</v>
      </c>
      <c r="Q465" s="73"/>
      <c r="R465" s="73"/>
    </row>
    <row r="466" spans="1:18" customFormat="1" ht="71.400000000000006" customHeight="1" x14ac:dyDescent="0.3">
      <c r="A466" s="15" t="s">
        <v>123</v>
      </c>
      <c r="B466" s="12" t="s">
        <v>5</v>
      </c>
      <c r="C466" s="29">
        <v>3800048</v>
      </c>
      <c r="D466" s="29" t="s">
        <v>128</v>
      </c>
      <c r="E466" s="133" t="s">
        <v>129</v>
      </c>
      <c r="F466" s="29" t="s">
        <v>692</v>
      </c>
      <c r="G466" s="29" t="s">
        <v>692</v>
      </c>
      <c r="H466" s="29" t="s">
        <v>692</v>
      </c>
      <c r="I466" s="29" t="s">
        <v>692</v>
      </c>
      <c r="J466" s="64">
        <f>149998.5-1997.3</f>
        <v>148001.20000000001</v>
      </c>
      <c r="K466" s="64">
        <v>0</v>
      </c>
      <c r="L466" s="64">
        <f>149998.5-1997.3</f>
        <v>148001.20000000001</v>
      </c>
      <c r="M466" s="64">
        <f>126962.94-1690.57</f>
        <v>125272.37</v>
      </c>
      <c r="N466" s="64">
        <f t="shared" ref="N466:N474" si="19">L466-M466</f>
        <v>22728.830000000016</v>
      </c>
      <c r="O466" s="65">
        <v>0</v>
      </c>
      <c r="P466" s="84">
        <f t="shared" si="18"/>
        <v>1</v>
      </c>
      <c r="Q466" s="73"/>
      <c r="R466" s="73"/>
    </row>
    <row r="467" spans="1:18" customFormat="1" ht="71.400000000000006" customHeight="1" x14ac:dyDescent="0.3">
      <c r="A467" s="15" t="s">
        <v>123</v>
      </c>
      <c r="B467" s="12" t="s">
        <v>5</v>
      </c>
      <c r="C467" s="29">
        <v>3800048</v>
      </c>
      <c r="D467" s="29" t="s">
        <v>128</v>
      </c>
      <c r="E467" s="133" t="s">
        <v>130</v>
      </c>
      <c r="F467" s="29" t="s">
        <v>692</v>
      </c>
      <c r="G467" s="29" t="s">
        <v>692</v>
      </c>
      <c r="H467" s="29" t="s">
        <v>692</v>
      </c>
      <c r="I467" s="29" t="s">
        <v>692</v>
      </c>
      <c r="J467" s="64">
        <f>49815-399.51</f>
        <v>49415.49</v>
      </c>
      <c r="K467" s="64">
        <f>J467-L467</f>
        <v>7588.82</v>
      </c>
      <c r="L467" s="64">
        <f>42164.81-338.14</f>
        <v>41826.67</v>
      </c>
      <c r="M467" s="64">
        <f>42164.81-338.14</f>
        <v>41826.67</v>
      </c>
      <c r="N467" s="64">
        <f t="shared" si="19"/>
        <v>0</v>
      </c>
      <c r="O467" s="65">
        <v>0</v>
      </c>
      <c r="P467" s="84">
        <f t="shared" si="18"/>
        <v>0.84642831630324822</v>
      </c>
      <c r="Q467" s="73"/>
      <c r="R467" s="73"/>
    </row>
    <row r="468" spans="1:18" customFormat="1" x14ac:dyDescent="0.3">
      <c r="A468" s="15" t="s">
        <v>123</v>
      </c>
      <c r="B468" s="12" t="s">
        <v>5</v>
      </c>
      <c r="C468" s="29">
        <v>3795221</v>
      </c>
      <c r="D468" s="29" t="s">
        <v>131</v>
      </c>
      <c r="E468" s="133" t="s">
        <v>132</v>
      </c>
      <c r="F468" s="29" t="s">
        <v>692</v>
      </c>
      <c r="G468" s="29" t="s">
        <v>692</v>
      </c>
      <c r="H468" s="29" t="s">
        <v>692</v>
      </c>
      <c r="I468" s="29" t="s">
        <v>692</v>
      </c>
      <c r="J468" s="64">
        <f>24070.62</f>
        <v>24070.62</v>
      </c>
      <c r="K468" s="64">
        <v>0</v>
      </c>
      <c r="L468" s="64">
        <f>24070.62</f>
        <v>24070.62</v>
      </c>
      <c r="M468" s="64">
        <v>20374.05</v>
      </c>
      <c r="N468" s="64">
        <f t="shared" si="19"/>
        <v>3696.5699999999997</v>
      </c>
      <c r="O468" s="65">
        <v>0</v>
      </c>
      <c r="P468" s="84">
        <f t="shared" si="18"/>
        <v>1</v>
      </c>
      <c r="Q468" s="73"/>
      <c r="R468" s="73"/>
    </row>
    <row r="469" spans="1:18" customFormat="1" x14ac:dyDescent="0.3">
      <c r="A469" s="15" t="s">
        <v>123</v>
      </c>
      <c r="B469" s="12" t="s">
        <v>5</v>
      </c>
      <c r="C469" s="29">
        <v>3795221</v>
      </c>
      <c r="D469" s="29" t="s">
        <v>131</v>
      </c>
      <c r="E469" s="133" t="s">
        <v>105</v>
      </c>
      <c r="F469" s="12" t="s">
        <v>692</v>
      </c>
      <c r="G469" s="12">
        <v>23650</v>
      </c>
      <c r="H469" s="12">
        <v>9257075</v>
      </c>
      <c r="I469" s="12">
        <v>1208991</v>
      </c>
      <c r="J469" s="64">
        <f>20632.43-1988.03</f>
        <v>18644.400000000001</v>
      </c>
      <c r="K469" s="64">
        <f t="shared" ref="K469:K474" si="20">J469-L469</f>
        <v>2863.2400000000016</v>
      </c>
      <c r="L469" s="64">
        <f>17463.87-1682.71</f>
        <v>15781.16</v>
      </c>
      <c r="M469" s="64">
        <f>L469</f>
        <v>15781.16</v>
      </c>
      <c r="N469" s="64">
        <f t="shared" si="19"/>
        <v>0</v>
      </c>
      <c r="O469" s="65">
        <v>0</v>
      </c>
      <c r="P469" s="84">
        <f t="shared" si="18"/>
        <v>0.8464289545386281</v>
      </c>
      <c r="Q469" s="73"/>
      <c r="R469" s="73"/>
    </row>
    <row r="470" spans="1:18" customFormat="1" x14ac:dyDescent="0.3">
      <c r="A470" s="11" t="s">
        <v>123</v>
      </c>
      <c r="B470" s="12" t="s">
        <v>474</v>
      </c>
      <c r="C470" s="12">
        <v>3807259</v>
      </c>
      <c r="D470" s="12" t="s">
        <v>574</v>
      </c>
      <c r="E470" s="116" t="s">
        <v>136</v>
      </c>
      <c r="F470" s="12" t="s">
        <v>692</v>
      </c>
      <c r="G470" s="12" t="s">
        <v>692</v>
      </c>
      <c r="H470" s="12" t="s">
        <v>692</v>
      </c>
      <c r="I470" s="12" t="s">
        <v>692</v>
      </c>
      <c r="J470" s="64">
        <f>37059.9-1088.59</f>
        <v>35971.310000000005</v>
      </c>
      <c r="K470" s="64">
        <f t="shared" si="20"/>
        <v>0</v>
      </c>
      <c r="L470" s="64">
        <f>37059.9-1088.59</f>
        <v>35971.310000000005</v>
      </c>
      <c r="M470" s="64">
        <f>L470*0.849999981285</f>
        <v>30575.612826796936</v>
      </c>
      <c r="N470" s="64">
        <f t="shared" si="19"/>
        <v>5395.6971732030688</v>
      </c>
      <c r="O470" s="65">
        <v>0</v>
      </c>
      <c r="P470" s="84">
        <f t="shared" si="18"/>
        <v>1</v>
      </c>
      <c r="Q470" s="73"/>
      <c r="R470" s="73"/>
    </row>
    <row r="471" spans="1:18" customFormat="1" x14ac:dyDescent="0.3">
      <c r="A471" s="11" t="s">
        <v>123</v>
      </c>
      <c r="B471" s="12" t="s">
        <v>474</v>
      </c>
      <c r="C471" s="12">
        <v>3807259</v>
      </c>
      <c r="D471" s="12" t="s">
        <v>574</v>
      </c>
      <c r="E471" s="116" t="s">
        <v>575</v>
      </c>
      <c r="F471" s="12" t="s">
        <v>692</v>
      </c>
      <c r="G471" s="12" t="s">
        <v>692</v>
      </c>
      <c r="H471" s="12" t="s">
        <v>692</v>
      </c>
      <c r="I471" s="12" t="s">
        <v>692</v>
      </c>
      <c r="J471" s="64">
        <f>28604.88-2430.95</f>
        <v>26173.93</v>
      </c>
      <c r="K471" s="64">
        <f t="shared" si="20"/>
        <v>3926.0599999999977</v>
      </c>
      <c r="L471" s="64">
        <f>24314.15-2066.28</f>
        <v>22247.870000000003</v>
      </c>
      <c r="M471" s="64">
        <f>L471</f>
        <v>22247.870000000003</v>
      </c>
      <c r="N471" s="64">
        <f t="shared" si="19"/>
        <v>0</v>
      </c>
      <c r="O471" s="65">
        <v>0</v>
      </c>
      <c r="P471" s="84">
        <f t="shared" si="18"/>
        <v>0.85000112707568187</v>
      </c>
      <c r="Q471" s="73"/>
      <c r="R471" s="73"/>
    </row>
    <row r="472" spans="1:18" customFormat="1" x14ac:dyDescent="0.3">
      <c r="A472" s="11" t="s">
        <v>123</v>
      </c>
      <c r="B472" s="12" t="s">
        <v>474</v>
      </c>
      <c r="C472" s="12">
        <v>3807259</v>
      </c>
      <c r="D472" s="12" t="s">
        <v>574</v>
      </c>
      <c r="E472" s="116" t="s">
        <v>576</v>
      </c>
      <c r="F472" s="12" t="s">
        <v>692</v>
      </c>
      <c r="G472" s="12" t="s">
        <v>692</v>
      </c>
      <c r="H472" s="12" t="s">
        <v>692</v>
      </c>
      <c r="I472" s="12" t="s">
        <v>692</v>
      </c>
      <c r="J472" s="64">
        <f>L472/85*100</f>
        <v>25968.21176470588</v>
      </c>
      <c r="K472" s="64">
        <f t="shared" si="20"/>
        <v>3895.2317647058808</v>
      </c>
      <c r="L472" s="64">
        <f>21913.68+159.3</f>
        <v>22072.98</v>
      </c>
      <c r="M472" s="64">
        <f>L472</f>
        <v>22072.98</v>
      </c>
      <c r="N472" s="64">
        <f t="shared" si="19"/>
        <v>0</v>
      </c>
      <c r="O472" s="65">
        <v>0</v>
      </c>
      <c r="P472" s="84">
        <f t="shared" si="18"/>
        <v>0.85000000000000009</v>
      </c>
      <c r="Q472" s="73"/>
      <c r="R472" s="73"/>
    </row>
    <row r="473" spans="1:18" customFormat="1" x14ac:dyDescent="0.3">
      <c r="A473" s="11" t="s">
        <v>123</v>
      </c>
      <c r="B473" s="12" t="s">
        <v>474</v>
      </c>
      <c r="C473" s="12">
        <v>3807259</v>
      </c>
      <c r="D473" s="12" t="s">
        <v>574</v>
      </c>
      <c r="E473" s="116" t="s">
        <v>577</v>
      </c>
      <c r="F473" s="12" t="s">
        <v>692</v>
      </c>
      <c r="G473" s="12" t="s">
        <v>692</v>
      </c>
      <c r="H473" s="12" t="s">
        <v>692</v>
      </c>
      <c r="I473" s="12" t="s">
        <v>692</v>
      </c>
      <c r="J473" s="64">
        <f>L473/85*100</f>
        <v>28768.364705882352</v>
      </c>
      <c r="K473" s="64">
        <f t="shared" si="20"/>
        <v>4315.2547058823511</v>
      </c>
      <c r="L473" s="64">
        <f>21634.2+2818.91</f>
        <v>24453.11</v>
      </c>
      <c r="M473" s="64">
        <f>L473</f>
        <v>24453.11</v>
      </c>
      <c r="N473" s="64">
        <f t="shared" si="19"/>
        <v>0</v>
      </c>
      <c r="O473" s="65">
        <v>0</v>
      </c>
      <c r="P473" s="84">
        <f t="shared" si="18"/>
        <v>0.85000000000000009</v>
      </c>
      <c r="Q473" s="73"/>
      <c r="R473" s="73"/>
    </row>
    <row r="474" spans="1:18" customFormat="1" x14ac:dyDescent="0.3">
      <c r="A474" s="11" t="s">
        <v>123</v>
      </c>
      <c r="B474" s="12" t="s">
        <v>474</v>
      </c>
      <c r="C474" s="12">
        <v>3807259</v>
      </c>
      <c r="D474" s="12" t="s">
        <v>574</v>
      </c>
      <c r="E474" s="116" t="s">
        <v>578</v>
      </c>
      <c r="F474" s="12" t="s">
        <v>692</v>
      </c>
      <c r="G474" s="12" t="s">
        <v>692</v>
      </c>
      <c r="H474" s="12" t="s">
        <v>692</v>
      </c>
      <c r="I474" s="12" t="s">
        <v>692</v>
      </c>
      <c r="J474" s="64">
        <f>59901+10.47+5.29-0.03</f>
        <v>59916.73</v>
      </c>
      <c r="K474" s="64">
        <f t="shared" si="20"/>
        <v>0</v>
      </c>
      <c r="L474" s="64">
        <f>59901+10.47+5.29-0.03</f>
        <v>59916.73</v>
      </c>
      <c r="M474" s="64">
        <f>L474*0.849999981285</f>
        <v>50929.219378658403</v>
      </c>
      <c r="N474" s="64">
        <f t="shared" si="19"/>
        <v>8987.5106213416002</v>
      </c>
      <c r="O474" s="65">
        <v>0</v>
      </c>
      <c r="P474" s="84">
        <f t="shared" si="18"/>
        <v>1</v>
      </c>
      <c r="Q474" s="73"/>
      <c r="R474" s="73"/>
    </row>
    <row r="475" spans="1:18" customFormat="1" x14ac:dyDescent="0.3">
      <c r="A475" s="11" t="s">
        <v>123</v>
      </c>
      <c r="B475" s="12" t="s">
        <v>474</v>
      </c>
      <c r="C475" s="12">
        <v>3772037</v>
      </c>
      <c r="D475" s="12" t="s">
        <v>579</v>
      </c>
      <c r="E475" s="116" t="s">
        <v>580</v>
      </c>
      <c r="F475" s="12" t="s">
        <v>692</v>
      </c>
      <c r="G475" s="12" t="s">
        <v>692</v>
      </c>
      <c r="H475" s="12" t="s">
        <v>692</v>
      </c>
      <c r="I475" s="12" t="s">
        <v>692</v>
      </c>
      <c r="J475" s="64">
        <v>122065.2</v>
      </c>
      <c r="K475" s="64">
        <v>18309.78</v>
      </c>
      <c r="L475" s="64">
        <v>103755.42</v>
      </c>
      <c r="M475" s="64">
        <v>103755.42</v>
      </c>
      <c r="N475" s="64">
        <v>0</v>
      </c>
      <c r="O475" s="65">
        <v>0</v>
      </c>
      <c r="P475" s="84">
        <f t="shared" si="18"/>
        <v>0.85</v>
      </c>
      <c r="Q475" s="73"/>
      <c r="R475" s="73"/>
    </row>
    <row r="476" spans="1:18" customFormat="1" x14ac:dyDescent="0.3">
      <c r="A476" s="11" t="s">
        <v>123</v>
      </c>
      <c r="B476" s="12" t="s">
        <v>474</v>
      </c>
      <c r="C476" s="12">
        <v>3772037</v>
      </c>
      <c r="D476" s="12" t="s">
        <v>579</v>
      </c>
      <c r="E476" s="116" t="s">
        <v>581</v>
      </c>
      <c r="F476" s="12" t="s">
        <v>692</v>
      </c>
      <c r="G476" s="12" t="s">
        <v>692</v>
      </c>
      <c r="H476" s="12" t="s">
        <v>692</v>
      </c>
      <c r="I476" s="12" t="s">
        <v>692</v>
      </c>
      <c r="J476" s="64">
        <v>121942.2</v>
      </c>
      <c r="K476" s="64">
        <v>0</v>
      </c>
      <c r="L476" s="64">
        <v>121942.2</v>
      </c>
      <c r="M476" s="64">
        <v>103650.86771785172</v>
      </c>
      <c r="N476" s="64">
        <v>18291.332282148272</v>
      </c>
      <c r="O476" s="65">
        <v>0</v>
      </c>
      <c r="P476" s="84">
        <f t="shared" si="18"/>
        <v>1</v>
      </c>
      <c r="Q476" s="73"/>
      <c r="R476" s="73"/>
    </row>
    <row r="477" spans="1:18" customFormat="1" x14ac:dyDescent="0.3">
      <c r="A477" s="18" t="s">
        <v>123</v>
      </c>
      <c r="B477" s="18" t="s">
        <v>451</v>
      </c>
      <c r="C477" s="18">
        <v>3843935</v>
      </c>
      <c r="D477" s="18" t="s">
        <v>465</v>
      </c>
      <c r="E477" s="116" t="s">
        <v>675</v>
      </c>
      <c r="F477" s="12" t="s">
        <v>692</v>
      </c>
      <c r="G477" s="12" t="s">
        <v>692</v>
      </c>
      <c r="H477" s="12" t="s">
        <v>692</v>
      </c>
      <c r="I477" s="12" t="s">
        <v>692</v>
      </c>
      <c r="J477" s="67">
        <v>94650</v>
      </c>
      <c r="K477" s="67">
        <v>0</v>
      </c>
      <c r="L477" s="67">
        <v>94650</v>
      </c>
      <c r="M477" s="67">
        <v>80452.498340785503</v>
      </c>
      <c r="N477" s="67">
        <v>14197.501659214497</v>
      </c>
      <c r="O477" s="65">
        <v>0</v>
      </c>
      <c r="P477" s="84">
        <f t="shared" si="18"/>
        <v>1</v>
      </c>
      <c r="Q477" s="73"/>
      <c r="R477" s="73"/>
    </row>
    <row r="478" spans="1:18" customFormat="1" x14ac:dyDescent="0.3">
      <c r="A478" s="11" t="s">
        <v>123</v>
      </c>
      <c r="B478" s="12" t="s">
        <v>601</v>
      </c>
      <c r="C478" s="12">
        <v>3847532</v>
      </c>
      <c r="D478" s="12" t="s">
        <v>648</v>
      </c>
      <c r="E478" s="116" t="s">
        <v>649</v>
      </c>
      <c r="F478" s="12" t="s">
        <v>692</v>
      </c>
      <c r="G478" s="12" t="s">
        <v>692</v>
      </c>
      <c r="H478" s="12" t="s">
        <v>692</v>
      </c>
      <c r="I478" s="12" t="s">
        <v>692</v>
      </c>
      <c r="J478" s="64">
        <v>78720</v>
      </c>
      <c r="K478" s="64">
        <v>0</v>
      </c>
      <c r="L478" s="64">
        <v>78720</v>
      </c>
      <c r="M478" s="64">
        <v>66911.997581564166</v>
      </c>
      <c r="N478" s="64">
        <v>11808.002418435834</v>
      </c>
      <c r="O478" s="65">
        <v>0</v>
      </c>
      <c r="P478" s="84">
        <f t="shared" si="18"/>
        <v>1</v>
      </c>
      <c r="Q478" s="73"/>
      <c r="R478" s="73"/>
    </row>
    <row r="479" spans="1:18" customFormat="1" ht="29.55" x14ac:dyDescent="0.3">
      <c r="A479" s="11" t="s">
        <v>123</v>
      </c>
      <c r="B479" s="12" t="s">
        <v>601</v>
      </c>
      <c r="C479" s="12">
        <v>3847532</v>
      </c>
      <c r="D479" s="12" t="s">
        <v>648</v>
      </c>
      <c r="E479" s="116" t="s">
        <v>650</v>
      </c>
      <c r="F479" s="12" t="s">
        <v>692</v>
      </c>
      <c r="G479" s="12">
        <v>23650</v>
      </c>
      <c r="H479" s="12">
        <v>9257668</v>
      </c>
      <c r="I479" s="12" t="s">
        <v>692</v>
      </c>
      <c r="J479" s="64">
        <v>69198.080000000002</v>
      </c>
      <c r="K479" s="64">
        <v>10379.709999999999</v>
      </c>
      <c r="L479" s="64">
        <v>58818.37</v>
      </c>
      <c r="M479" s="64">
        <v>58818.37</v>
      </c>
      <c r="N479" s="64">
        <v>0</v>
      </c>
      <c r="O479" s="65">
        <v>0</v>
      </c>
      <c r="P479" s="84">
        <f t="shared" si="18"/>
        <v>0.85000002890253601</v>
      </c>
      <c r="Q479" s="73"/>
      <c r="R479" s="73"/>
    </row>
    <row r="480" spans="1:18" customFormat="1" x14ac:dyDescent="0.3">
      <c r="A480" s="11" t="s">
        <v>123</v>
      </c>
      <c r="B480" s="12" t="s">
        <v>601</v>
      </c>
      <c r="C480" s="12">
        <v>3847532</v>
      </c>
      <c r="D480" s="12" t="s">
        <v>648</v>
      </c>
      <c r="E480" s="116" t="s">
        <v>651</v>
      </c>
      <c r="F480" s="50" t="s">
        <v>692</v>
      </c>
      <c r="G480" s="50">
        <v>23650</v>
      </c>
      <c r="H480" s="50">
        <v>9257678</v>
      </c>
      <c r="I480" s="50" t="s">
        <v>692</v>
      </c>
      <c r="J480" s="64">
        <v>23060.799999999999</v>
      </c>
      <c r="K480" s="64">
        <v>3459.12</v>
      </c>
      <c r="L480" s="64">
        <v>19601.68</v>
      </c>
      <c r="M480" s="64">
        <v>19601.68</v>
      </c>
      <c r="N480" s="64">
        <v>0</v>
      </c>
      <c r="O480" s="65">
        <v>0</v>
      </c>
      <c r="P480" s="84">
        <f t="shared" si="18"/>
        <v>0.85000000000000009</v>
      </c>
      <c r="Q480" s="73"/>
      <c r="R480" s="73"/>
    </row>
    <row r="481" spans="1:18" customFormat="1" x14ac:dyDescent="0.3">
      <c r="A481" s="50" t="s">
        <v>123</v>
      </c>
      <c r="B481" s="11" t="s">
        <v>164</v>
      </c>
      <c r="C481" s="50">
        <v>3821687</v>
      </c>
      <c r="D481" s="50" t="s">
        <v>358</v>
      </c>
      <c r="E481" s="122" t="s">
        <v>359</v>
      </c>
      <c r="F481" s="50" t="s">
        <v>692</v>
      </c>
      <c r="G481" s="50" t="s">
        <v>692</v>
      </c>
      <c r="H481" s="50" t="s">
        <v>692</v>
      </c>
      <c r="I481" s="50" t="s">
        <v>692</v>
      </c>
      <c r="J481" s="67">
        <v>119064</v>
      </c>
      <c r="K481" s="67">
        <v>0</v>
      </c>
      <c r="L481" s="67">
        <v>119064</v>
      </c>
      <c r="M481" s="67">
        <v>100600.37875727848</v>
      </c>
      <c r="N481" s="67">
        <v>18463.621242721521</v>
      </c>
      <c r="O481" s="65">
        <v>0</v>
      </c>
      <c r="P481" s="84">
        <f t="shared" si="18"/>
        <v>1</v>
      </c>
      <c r="Q481" s="73"/>
      <c r="R481" s="73"/>
    </row>
    <row r="482" spans="1:18" customFormat="1" x14ac:dyDescent="0.3">
      <c r="A482" s="50" t="s">
        <v>123</v>
      </c>
      <c r="B482" s="11" t="s">
        <v>164</v>
      </c>
      <c r="C482" s="50">
        <v>3821687</v>
      </c>
      <c r="D482" s="50" t="s">
        <v>358</v>
      </c>
      <c r="E482" s="122" t="s">
        <v>360</v>
      </c>
      <c r="F482" s="29" t="s">
        <v>692</v>
      </c>
      <c r="G482" s="29" t="s">
        <v>692</v>
      </c>
      <c r="H482" s="29" t="s">
        <v>692</v>
      </c>
      <c r="I482" s="29" t="s">
        <v>692</v>
      </c>
      <c r="J482" s="67">
        <v>93449.25</v>
      </c>
      <c r="K482" s="67">
        <v>14491.46</v>
      </c>
      <c r="L482" s="67">
        <v>78957.789999999994</v>
      </c>
      <c r="M482" s="67">
        <v>78957.789999999994</v>
      </c>
      <c r="N482" s="67">
        <v>0</v>
      </c>
      <c r="O482" s="65">
        <v>0</v>
      </c>
      <c r="P482" s="84">
        <f t="shared" si="18"/>
        <v>0.84492695232974036</v>
      </c>
      <c r="Q482" s="73"/>
      <c r="R482" s="73"/>
    </row>
    <row r="483" spans="1:18" customFormat="1" ht="44.35" x14ac:dyDescent="0.3">
      <c r="A483" s="15" t="s">
        <v>123</v>
      </c>
      <c r="B483" s="12" t="s">
        <v>5</v>
      </c>
      <c r="C483" s="29">
        <v>3846141</v>
      </c>
      <c r="D483" s="29" t="s">
        <v>133</v>
      </c>
      <c r="E483" s="133" t="s">
        <v>134</v>
      </c>
      <c r="F483" s="12" t="s">
        <v>692</v>
      </c>
      <c r="G483" s="12" t="s">
        <v>692</v>
      </c>
      <c r="H483" s="12" t="s">
        <v>692</v>
      </c>
      <c r="I483" s="12" t="s">
        <v>692</v>
      </c>
      <c r="J483" s="64">
        <v>149999.01</v>
      </c>
      <c r="K483" s="64">
        <v>0</v>
      </c>
      <c r="L483" s="64">
        <v>149999.01</v>
      </c>
      <c r="M483" s="64">
        <v>126963.3716870663</v>
      </c>
      <c r="N483" s="64">
        <v>23035.638312933705</v>
      </c>
      <c r="O483" s="65">
        <v>0</v>
      </c>
      <c r="P483" s="84">
        <f t="shared" si="18"/>
        <v>1</v>
      </c>
      <c r="Q483" s="73"/>
      <c r="R483" s="73"/>
    </row>
    <row r="484" spans="1:18" customFormat="1" x14ac:dyDescent="0.3">
      <c r="A484" s="11" t="s">
        <v>123</v>
      </c>
      <c r="B484" s="12" t="s">
        <v>474</v>
      </c>
      <c r="C484" s="12">
        <v>3842242</v>
      </c>
      <c r="D484" s="12" t="s">
        <v>582</v>
      </c>
      <c r="E484" s="116" t="s">
        <v>545</v>
      </c>
      <c r="F484" s="12" t="s">
        <v>692</v>
      </c>
      <c r="G484" s="12" t="s">
        <v>692</v>
      </c>
      <c r="H484" s="12" t="s">
        <v>692</v>
      </c>
      <c r="I484" s="12" t="s">
        <v>692</v>
      </c>
      <c r="J484" s="64">
        <f>98340-49519.46</f>
        <v>48820.54</v>
      </c>
      <c r="K484" s="64">
        <v>0</v>
      </c>
      <c r="L484" s="64">
        <f>98340-49519.46</f>
        <v>48820.54</v>
      </c>
      <c r="M484" s="64">
        <f>83589-42091.54</f>
        <v>41497.46</v>
      </c>
      <c r="N484" s="64">
        <f>L484-M484</f>
        <v>7323.0800000000017</v>
      </c>
      <c r="O484" s="65">
        <v>0</v>
      </c>
      <c r="P484" s="84">
        <f t="shared" si="18"/>
        <v>1</v>
      </c>
      <c r="Q484" s="73"/>
      <c r="R484" s="73"/>
    </row>
    <row r="485" spans="1:18" customFormat="1" x14ac:dyDescent="0.3">
      <c r="A485" s="11" t="s">
        <v>123</v>
      </c>
      <c r="B485" s="12" t="s">
        <v>474</v>
      </c>
      <c r="C485" s="12">
        <v>3842242</v>
      </c>
      <c r="D485" s="12" t="s">
        <v>582</v>
      </c>
      <c r="E485" s="116" t="s">
        <v>480</v>
      </c>
      <c r="F485" s="49" t="s">
        <v>692</v>
      </c>
      <c r="G485" s="49" t="s">
        <v>692</v>
      </c>
      <c r="H485" s="49" t="s">
        <v>692</v>
      </c>
      <c r="I485" s="49" t="s">
        <v>692</v>
      </c>
      <c r="J485" s="64">
        <v>30750</v>
      </c>
      <c r="K485" s="64">
        <v>4612.5</v>
      </c>
      <c r="L485" s="64">
        <v>26137.5</v>
      </c>
      <c r="M485" s="64">
        <v>26137.5</v>
      </c>
      <c r="N485" s="64">
        <v>0</v>
      </c>
      <c r="O485" s="65">
        <v>0</v>
      </c>
      <c r="P485" s="84">
        <f t="shared" si="18"/>
        <v>0.85</v>
      </c>
      <c r="Q485" s="73"/>
      <c r="R485" s="73"/>
    </row>
    <row r="486" spans="1:18" customFormat="1" ht="44.35" x14ac:dyDescent="0.3">
      <c r="A486" s="18" t="s">
        <v>123</v>
      </c>
      <c r="B486" s="18" t="s">
        <v>451</v>
      </c>
      <c r="C486" s="18">
        <v>3846117</v>
      </c>
      <c r="D486" s="18" t="s">
        <v>466</v>
      </c>
      <c r="E486" s="118" t="s">
        <v>134</v>
      </c>
      <c r="F486" s="49" t="s">
        <v>692</v>
      </c>
      <c r="G486" s="49" t="s">
        <v>692</v>
      </c>
      <c r="H486" s="49" t="s">
        <v>692</v>
      </c>
      <c r="I486" s="49" t="s">
        <v>692</v>
      </c>
      <c r="J486" s="67">
        <v>149737</v>
      </c>
      <c r="K486" s="67">
        <v>0</v>
      </c>
      <c r="L486" s="67">
        <v>149737</v>
      </c>
      <c r="M486" s="67">
        <v>127276.44737511038</v>
      </c>
      <c r="N486" s="67">
        <v>22460.55262488962</v>
      </c>
      <c r="O486" s="65">
        <v>0</v>
      </c>
      <c r="P486" s="84">
        <f t="shared" si="18"/>
        <v>1</v>
      </c>
      <c r="Q486" s="73"/>
      <c r="R486" s="73"/>
    </row>
    <row r="487" spans="1:18" customFormat="1" x14ac:dyDescent="0.3">
      <c r="A487" s="18" t="s">
        <v>123</v>
      </c>
      <c r="B487" s="18" t="s">
        <v>451</v>
      </c>
      <c r="C487" s="18">
        <v>3846117</v>
      </c>
      <c r="D487" s="18" t="s">
        <v>466</v>
      </c>
      <c r="E487" s="118" t="s">
        <v>467</v>
      </c>
      <c r="F487" s="50" t="s">
        <v>692</v>
      </c>
      <c r="G487" s="50">
        <v>23650</v>
      </c>
      <c r="H487" s="50">
        <v>9257766</v>
      </c>
      <c r="I487" s="50" t="s">
        <v>692</v>
      </c>
      <c r="J487" s="67">
        <v>49266</v>
      </c>
      <c r="K487" s="67">
        <v>7389.9</v>
      </c>
      <c r="L487" s="67">
        <v>41876.1</v>
      </c>
      <c r="M487" s="67">
        <v>41876.1</v>
      </c>
      <c r="N487" s="67">
        <v>0</v>
      </c>
      <c r="O487" s="65">
        <v>0</v>
      </c>
      <c r="P487" s="84">
        <f t="shared" si="18"/>
        <v>0.85</v>
      </c>
      <c r="Q487" s="73"/>
      <c r="R487" s="73"/>
    </row>
    <row r="488" spans="1:18" customFormat="1" x14ac:dyDescent="0.3">
      <c r="A488" s="50" t="s">
        <v>123</v>
      </c>
      <c r="B488" s="11" t="s">
        <v>164</v>
      </c>
      <c r="C488" s="50">
        <v>3842932</v>
      </c>
      <c r="D488" s="50" t="s">
        <v>361</v>
      </c>
      <c r="E488" s="122" t="s">
        <v>136</v>
      </c>
      <c r="F488" s="50" t="s">
        <v>692</v>
      </c>
      <c r="G488" s="50" t="s">
        <v>692</v>
      </c>
      <c r="H488" s="50" t="s">
        <v>692</v>
      </c>
      <c r="I488" s="50" t="s">
        <v>692</v>
      </c>
      <c r="J488" s="67">
        <v>69104</v>
      </c>
      <c r="K488" s="67">
        <v>0</v>
      </c>
      <c r="L488" s="67">
        <v>69104</v>
      </c>
      <c r="M488" s="67">
        <v>58387.829853213167</v>
      </c>
      <c r="N488" s="67">
        <v>10716.170146786833</v>
      </c>
      <c r="O488" s="65">
        <v>0</v>
      </c>
      <c r="P488" s="84">
        <f t="shared" si="18"/>
        <v>1</v>
      </c>
      <c r="Q488" s="73"/>
      <c r="R488" s="73"/>
    </row>
    <row r="489" spans="1:18" customFormat="1" x14ac:dyDescent="0.3">
      <c r="A489" s="50" t="s">
        <v>123</v>
      </c>
      <c r="B489" s="11" t="s">
        <v>164</v>
      </c>
      <c r="C489" s="50">
        <v>3842932</v>
      </c>
      <c r="D489" s="50" t="s">
        <v>361</v>
      </c>
      <c r="E489" s="122" t="s">
        <v>362</v>
      </c>
      <c r="F489" s="50" t="s">
        <v>692</v>
      </c>
      <c r="G489" s="50" t="s">
        <v>692</v>
      </c>
      <c r="H489" s="50" t="s">
        <v>692</v>
      </c>
      <c r="I489" s="50" t="s">
        <v>692</v>
      </c>
      <c r="J489" s="67">
        <v>24080.06</v>
      </c>
      <c r="K489" s="67">
        <v>0</v>
      </c>
      <c r="L489" s="67">
        <v>24080.06</v>
      </c>
      <c r="M489" s="67">
        <v>20345.890919992537</v>
      </c>
      <c r="N489" s="67">
        <v>3734.1690800074648</v>
      </c>
      <c r="O489" s="65">
        <v>0</v>
      </c>
      <c r="P489" s="84">
        <f t="shared" si="18"/>
        <v>1</v>
      </c>
      <c r="Q489" s="73"/>
      <c r="R489" s="73"/>
    </row>
    <row r="490" spans="1:18" customFormat="1" x14ac:dyDescent="0.3">
      <c r="A490" s="50" t="s">
        <v>123</v>
      </c>
      <c r="B490" s="11" t="s">
        <v>164</v>
      </c>
      <c r="C490" s="50">
        <v>3842932</v>
      </c>
      <c r="D490" s="50" t="s">
        <v>361</v>
      </c>
      <c r="E490" s="122" t="s">
        <v>363</v>
      </c>
      <c r="F490" s="50" t="s">
        <v>692</v>
      </c>
      <c r="G490" s="50" t="s">
        <v>692</v>
      </c>
      <c r="H490" s="50" t="s">
        <v>692</v>
      </c>
      <c r="I490" s="50" t="s">
        <v>692</v>
      </c>
      <c r="J490" s="67">
        <v>22963.86</v>
      </c>
      <c r="K490" s="67">
        <v>0</v>
      </c>
      <c r="L490" s="67">
        <v>22963.86</v>
      </c>
      <c r="M490" s="67">
        <v>19402.783492316041</v>
      </c>
      <c r="N490" s="67">
        <v>3561.0765076839598</v>
      </c>
      <c r="O490" s="65">
        <v>0</v>
      </c>
      <c r="P490" s="84">
        <f t="shared" si="18"/>
        <v>1</v>
      </c>
      <c r="Q490" s="73"/>
      <c r="R490" s="73"/>
    </row>
    <row r="491" spans="1:18" customFormat="1" ht="29.55" x14ac:dyDescent="0.3">
      <c r="A491" s="50" t="s">
        <v>123</v>
      </c>
      <c r="B491" s="11" t="s">
        <v>164</v>
      </c>
      <c r="C491" s="50">
        <v>3842932</v>
      </c>
      <c r="D491" s="50" t="s">
        <v>361</v>
      </c>
      <c r="E491" s="122" t="s">
        <v>364</v>
      </c>
      <c r="F491" s="50" t="s">
        <v>692</v>
      </c>
      <c r="G491" s="50" t="s">
        <v>692</v>
      </c>
      <c r="H491" s="50" t="s">
        <v>692</v>
      </c>
      <c r="I491" s="50" t="s">
        <v>692</v>
      </c>
      <c r="J491" s="67">
        <v>13675.2</v>
      </c>
      <c r="K491" s="67">
        <v>2120.66</v>
      </c>
      <c r="L491" s="67">
        <v>11554.54</v>
      </c>
      <c r="M491" s="67">
        <v>11554.54</v>
      </c>
      <c r="N491" s="67">
        <v>0</v>
      </c>
      <c r="O491" s="65">
        <v>0</v>
      </c>
      <c r="P491" s="84">
        <f t="shared" si="18"/>
        <v>0.84492658242658247</v>
      </c>
      <c r="Q491" s="73"/>
      <c r="R491" s="73"/>
    </row>
    <row r="492" spans="1:18" customFormat="1" x14ac:dyDescent="0.3">
      <c r="A492" s="50" t="s">
        <v>123</v>
      </c>
      <c r="B492" s="11" t="s">
        <v>164</v>
      </c>
      <c r="C492" s="50">
        <v>3842932</v>
      </c>
      <c r="D492" s="50" t="s">
        <v>361</v>
      </c>
      <c r="E492" s="122" t="s">
        <v>365</v>
      </c>
      <c r="F492" s="29" t="s">
        <v>692</v>
      </c>
      <c r="G492" s="29" t="s">
        <v>692</v>
      </c>
      <c r="H492" s="29" t="s">
        <v>692</v>
      </c>
      <c r="I492" s="29" t="s">
        <v>692</v>
      </c>
      <c r="J492" s="67">
        <v>66297</v>
      </c>
      <c r="K492" s="67">
        <v>10280.879999999997</v>
      </c>
      <c r="L492" s="67">
        <v>56016.12</v>
      </c>
      <c r="M492" s="67">
        <v>56016.12</v>
      </c>
      <c r="N492" s="67">
        <v>0</v>
      </c>
      <c r="O492" s="65">
        <v>0</v>
      </c>
      <c r="P492" s="84">
        <f t="shared" si="18"/>
        <v>0.84492691977012535</v>
      </c>
      <c r="Q492" s="73"/>
      <c r="R492" s="73"/>
    </row>
    <row r="493" spans="1:18" customFormat="1" x14ac:dyDescent="0.3">
      <c r="A493" s="15" t="s">
        <v>123</v>
      </c>
      <c r="B493" s="12" t="s">
        <v>5</v>
      </c>
      <c r="C493" s="29">
        <v>3859153</v>
      </c>
      <c r="D493" s="29" t="s">
        <v>135</v>
      </c>
      <c r="E493" s="133" t="s">
        <v>136</v>
      </c>
      <c r="F493" s="29" t="s">
        <v>692</v>
      </c>
      <c r="G493" s="29" t="s">
        <v>692</v>
      </c>
      <c r="H493" s="29" t="s">
        <v>692</v>
      </c>
      <c r="I493" s="29" t="s">
        <v>692</v>
      </c>
      <c r="J493" s="64">
        <v>58658.04</v>
      </c>
      <c r="K493" s="64">
        <v>0</v>
      </c>
      <c r="L493" s="64">
        <v>58658.04</v>
      </c>
      <c r="M493" s="64">
        <v>49649.811255119632</v>
      </c>
      <c r="N493" s="64">
        <v>9008.228744880369</v>
      </c>
      <c r="O493" s="65">
        <v>0</v>
      </c>
      <c r="P493" s="84">
        <f t="shared" si="18"/>
        <v>1</v>
      </c>
      <c r="Q493" s="73"/>
      <c r="R493" s="73"/>
    </row>
    <row r="494" spans="1:18" customFormat="1" x14ac:dyDescent="0.3">
      <c r="A494" s="15" t="s">
        <v>123</v>
      </c>
      <c r="B494" s="12" t="s">
        <v>5</v>
      </c>
      <c r="C494" s="29">
        <v>3859153</v>
      </c>
      <c r="D494" s="29" t="s">
        <v>135</v>
      </c>
      <c r="E494" s="133" t="s">
        <v>137</v>
      </c>
      <c r="F494" s="29" t="s">
        <v>692</v>
      </c>
      <c r="G494" s="29">
        <v>23650</v>
      </c>
      <c r="H494" s="29">
        <v>9257816</v>
      </c>
      <c r="I494" s="29" t="s">
        <v>692</v>
      </c>
      <c r="J494" s="64">
        <v>58169.16</v>
      </c>
      <c r="K494" s="64">
        <v>8933.15</v>
      </c>
      <c r="L494" s="64">
        <v>49236.01</v>
      </c>
      <c r="M494" s="64">
        <v>49236.01</v>
      </c>
      <c r="N494" s="64">
        <v>0</v>
      </c>
      <c r="O494" s="65">
        <v>0</v>
      </c>
      <c r="P494" s="84">
        <f t="shared" si="18"/>
        <v>0.84642807288260646</v>
      </c>
      <c r="Q494" s="73"/>
      <c r="R494" s="73"/>
    </row>
    <row r="495" spans="1:18" customFormat="1" x14ac:dyDescent="0.3">
      <c r="A495" s="15" t="s">
        <v>123</v>
      </c>
      <c r="B495" s="12" t="s">
        <v>5</v>
      </c>
      <c r="C495" s="29">
        <v>3859153</v>
      </c>
      <c r="D495" s="29" t="s">
        <v>135</v>
      </c>
      <c r="E495" s="133" t="s">
        <v>103</v>
      </c>
      <c r="F495" s="12" t="s">
        <v>692</v>
      </c>
      <c r="G495" s="12">
        <v>23650</v>
      </c>
      <c r="H495" s="12">
        <v>9257837</v>
      </c>
      <c r="I495" s="12" t="s">
        <v>692</v>
      </c>
      <c r="J495" s="64">
        <v>73800</v>
      </c>
      <c r="K495" s="64">
        <v>11333.61</v>
      </c>
      <c r="L495" s="64">
        <v>62466.39</v>
      </c>
      <c r="M495" s="64">
        <v>62466.39</v>
      </c>
      <c r="N495" s="64">
        <v>0</v>
      </c>
      <c r="O495" s="65">
        <v>0</v>
      </c>
      <c r="P495" s="84">
        <f t="shared" si="18"/>
        <v>0.84642804878048783</v>
      </c>
      <c r="Q495" s="73"/>
      <c r="R495" s="73"/>
    </row>
    <row r="496" spans="1:18" customFormat="1" x14ac:dyDescent="0.3">
      <c r="A496" s="11" t="s">
        <v>123</v>
      </c>
      <c r="B496" s="12" t="s">
        <v>601</v>
      </c>
      <c r="C496" s="12">
        <v>3849447</v>
      </c>
      <c r="D496" s="12" t="s">
        <v>652</v>
      </c>
      <c r="E496" s="116" t="s">
        <v>653</v>
      </c>
      <c r="F496" s="12" t="s">
        <v>692</v>
      </c>
      <c r="G496" s="12" t="s">
        <v>692</v>
      </c>
      <c r="H496" s="12" t="s">
        <v>692</v>
      </c>
      <c r="I496" s="12" t="s">
        <v>692</v>
      </c>
      <c r="J496" s="64">
        <f>92250-3484.37</f>
        <v>88765.63</v>
      </c>
      <c r="K496" s="64">
        <v>0</v>
      </c>
      <c r="L496" s="64">
        <f>92250-3484.37</f>
        <v>88765.63</v>
      </c>
      <c r="M496" s="64">
        <f>L496*0.849999969278</f>
        <v>75450.782772942315</v>
      </c>
      <c r="N496" s="64">
        <f>L496-M496</f>
        <v>13314.847227057689</v>
      </c>
      <c r="O496" s="65">
        <v>0</v>
      </c>
      <c r="P496" s="84">
        <f t="shared" si="18"/>
        <v>1</v>
      </c>
      <c r="Q496" s="73"/>
      <c r="R496" s="73"/>
    </row>
    <row r="497" spans="1:18" customFormat="1" x14ac:dyDescent="0.3">
      <c r="A497" s="11" t="s">
        <v>123</v>
      </c>
      <c r="B497" s="12" t="s">
        <v>601</v>
      </c>
      <c r="C497" s="12">
        <v>3849447</v>
      </c>
      <c r="D497" s="12" t="s">
        <v>652</v>
      </c>
      <c r="E497" s="116" t="s">
        <v>127</v>
      </c>
      <c r="F497" s="12" t="s">
        <v>692</v>
      </c>
      <c r="G497" s="12" t="s">
        <v>692</v>
      </c>
      <c r="H497" s="12" t="s">
        <v>692</v>
      </c>
      <c r="I497" s="12" t="s">
        <v>692</v>
      </c>
      <c r="J497" s="64">
        <f>65369.96+2455.82</f>
        <v>67825.78</v>
      </c>
      <c r="K497" s="64">
        <v>0</v>
      </c>
      <c r="L497" s="64">
        <f>65369.96+2455.82</f>
        <v>67825.78</v>
      </c>
      <c r="M497" s="64">
        <f>L497*0.849999969278</f>
        <v>57651.910916256391</v>
      </c>
      <c r="N497" s="64">
        <f>L497-M497</f>
        <v>10173.869083743608</v>
      </c>
      <c r="O497" s="65">
        <v>0</v>
      </c>
      <c r="P497" s="84">
        <f t="shared" si="18"/>
        <v>1</v>
      </c>
      <c r="Q497" s="73"/>
      <c r="R497" s="73"/>
    </row>
    <row r="498" spans="1:18" customFormat="1" x14ac:dyDescent="0.3">
      <c r="A498" s="11" t="s">
        <v>123</v>
      </c>
      <c r="B498" s="12" t="s">
        <v>601</v>
      </c>
      <c r="C498" s="12">
        <v>3849447</v>
      </c>
      <c r="D498" s="12" t="s">
        <v>652</v>
      </c>
      <c r="E498" s="116" t="s">
        <v>654</v>
      </c>
      <c r="F498" s="12" t="s">
        <v>692</v>
      </c>
      <c r="G498" s="12" t="s">
        <v>692</v>
      </c>
      <c r="H498" s="12" t="s">
        <v>692</v>
      </c>
      <c r="I498" s="12" t="s">
        <v>692</v>
      </c>
      <c r="J498" s="64">
        <f>92138.44+1037.55</f>
        <v>93175.99</v>
      </c>
      <c r="K498" s="64">
        <v>0</v>
      </c>
      <c r="L498" s="64">
        <f>92138.44+1037.55</f>
        <v>93175.99</v>
      </c>
      <c r="M498" s="64">
        <f>L498*0.849999969278</f>
        <v>79199.588637447247</v>
      </c>
      <c r="N498" s="64">
        <f>L498-M498</f>
        <v>13976.401362552759</v>
      </c>
      <c r="O498" s="65">
        <v>0</v>
      </c>
      <c r="P498" s="84">
        <f t="shared" si="18"/>
        <v>1</v>
      </c>
      <c r="Q498" s="73"/>
      <c r="R498" s="73"/>
    </row>
    <row r="499" spans="1:18" customFormat="1" x14ac:dyDescent="0.3">
      <c r="A499" s="11" t="s">
        <v>123</v>
      </c>
      <c r="B499" s="12" t="s">
        <v>601</v>
      </c>
      <c r="C499" s="12">
        <v>3849447</v>
      </c>
      <c r="D499" s="12" t="s">
        <v>652</v>
      </c>
      <c r="E499" s="116" t="s">
        <v>655</v>
      </c>
      <c r="F499" s="29" t="s">
        <v>692</v>
      </c>
      <c r="G499" s="29" t="s">
        <v>692</v>
      </c>
      <c r="H499" s="29" t="s">
        <v>692</v>
      </c>
      <c r="I499" s="29" t="s">
        <v>692</v>
      </c>
      <c r="J499" s="64">
        <f>15006-9</f>
        <v>14997</v>
      </c>
      <c r="K499" s="64">
        <v>0</v>
      </c>
      <c r="L499" s="64">
        <f>15006-9</f>
        <v>14997</v>
      </c>
      <c r="M499" s="64">
        <f>L499*0.849999969278</f>
        <v>12747.449539262167</v>
      </c>
      <c r="N499" s="64">
        <f>L499-M499</f>
        <v>2249.5504607378334</v>
      </c>
      <c r="O499" s="65">
        <v>0</v>
      </c>
      <c r="P499" s="84">
        <f t="shared" si="18"/>
        <v>1</v>
      </c>
      <c r="Q499" s="73"/>
      <c r="R499" s="73"/>
    </row>
    <row r="500" spans="1:18" customFormat="1" x14ac:dyDescent="0.3">
      <c r="A500" s="15" t="s">
        <v>123</v>
      </c>
      <c r="B500" s="12" t="s">
        <v>5</v>
      </c>
      <c r="C500" s="29">
        <v>3756018</v>
      </c>
      <c r="D500" s="29" t="s">
        <v>138</v>
      </c>
      <c r="E500" s="133" t="s">
        <v>139</v>
      </c>
      <c r="F500" s="29" t="s">
        <v>692</v>
      </c>
      <c r="G500" s="29" t="s">
        <v>692</v>
      </c>
      <c r="H500" s="29" t="s">
        <v>692</v>
      </c>
      <c r="I500" s="29" t="s">
        <v>692</v>
      </c>
      <c r="J500" s="64">
        <v>120901.54</v>
      </c>
      <c r="K500" s="64">
        <v>0</v>
      </c>
      <c r="L500" s="64">
        <v>120901.54</v>
      </c>
      <c r="M500" s="64">
        <v>102334.45647780417</v>
      </c>
      <c r="N500" s="64">
        <v>18567.083522195826</v>
      </c>
      <c r="O500" s="65">
        <v>0</v>
      </c>
      <c r="P500" s="84">
        <f t="shared" si="18"/>
        <v>1</v>
      </c>
      <c r="Q500" s="73"/>
      <c r="R500" s="73"/>
    </row>
    <row r="501" spans="1:18" customFormat="1" ht="29.55" x14ac:dyDescent="0.3">
      <c r="A501" s="15" t="s">
        <v>123</v>
      </c>
      <c r="B501" s="12" t="s">
        <v>5</v>
      </c>
      <c r="C501" s="29">
        <v>3756018</v>
      </c>
      <c r="D501" s="29" t="s">
        <v>138</v>
      </c>
      <c r="E501" s="133" t="s">
        <v>140</v>
      </c>
      <c r="F501" s="29" t="s">
        <v>692</v>
      </c>
      <c r="G501" s="29" t="s">
        <v>692</v>
      </c>
      <c r="H501" s="29" t="s">
        <v>692</v>
      </c>
      <c r="I501" s="29" t="s">
        <v>692</v>
      </c>
      <c r="J501" s="64">
        <v>90720</v>
      </c>
      <c r="K501" s="64">
        <v>13932.05</v>
      </c>
      <c r="L501" s="64">
        <v>76787.95</v>
      </c>
      <c r="M501" s="64">
        <v>76787.95</v>
      </c>
      <c r="N501" s="64">
        <v>0</v>
      </c>
      <c r="O501" s="65">
        <v>0</v>
      </c>
      <c r="P501" s="84">
        <f t="shared" si="18"/>
        <v>0.84642802028218689</v>
      </c>
      <c r="Q501" s="73"/>
      <c r="R501" s="73"/>
    </row>
    <row r="502" spans="1:18" customFormat="1" x14ac:dyDescent="0.3">
      <c r="A502" s="15" t="s">
        <v>123</v>
      </c>
      <c r="B502" s="12" t="s">
        <v>5</v>
      </c>
      <c r="C502" s="29">
        <v>3756018</v>
      </c>
      <c r="D502" s="29" t="s">
        <v>138</v>
      </c>
      <c r="E502" s="133" t="s">
        <v>141</v>
      </c>
      <c r="F502" s="50" t="s">
        <v>692</v>
      </c>
      <c r="G502" s="50" t="s">
        <v>692</v>
      </c>
      <c r="H502" s="50" t="s">
        <v>692</v>
      </c>
      <c r="I502" s="50" t="s">
        <v>692</v>
      </c>
      <c r="J502" s="64">
        <v>15001.08</v>
      </c>
      <c r="K502" s="64">
        <v>0</v>
      </c>
      <c r="L502" s="64">
        <v>15001.08</v>
      </c>
      <c r="M502" s="64">
        <v>12697.335107394485</v>
      </c>
      <c r="N502" s="64">
        <v>2303.7448926055149</v>
      </c>
      <c r="O502" s="65">
        <v>0</v>
      </c>
      <c r="P502" s="84">
        <f t="shared" si="18"/>
        <v>1</v>
      </c>
      <c r="Q502" s="73"/>
      <c r="R502" s="73"/>
    </row>
    <row r="503" spans="1:18" customFormat="1" x14ac:dyDescent="0.3">
      <c r="A503" s="50" t="s">
        <v>123</v>
      </c>
      <c r="B503" s="11" t="s">
        <v>164</v>
      </c>
      <c r="C503" s="50">
        <v>3864298</v>
      </c>
      <c r="D503" s="50" t="s">
        <v>366</v>
      </c>
      <c r="E503" s="122" t="s">
        <v>367</v>
      </c>
      <c r="F503" s="50" t="s">
        <v>692</v>
      </c>
      <c r="G503" s="50" t="s">
        <v>692</v>
      </c>
      <c r="H503" s="50" t="s">
        <v>692</v>
      </c>
      <c r="I503" s="50" t="s">
        <v>692</v>
      </c>
      <c r="J503" s="67">
        <v>55596</v>
      </c>
      <c r="K503" s="67">
        <v>0</v>
      </c>
      <c r="L503" s="67">
        <v>55596</v>
      </c>
      <c r="M503" s="67">
        <v>46974.557023026726</v>
      </c>
      <c r="N503" s="67">
        <v>8621.4429769732742</v>
      </c>
      <c r="O503" s="65">
        <v>0</v>
      </c>
      <c r="P503" s="84">
        <f t="shared" si="18"/>
        <v>1</v>
      </c>
      <c r="Q503" s="73"/>
      <c r="R503" s="73"/>
    </row>
    <row r="504" spans="1:18" customFormat="1" x14ac:dyDescent="0.3">
      <c r="A504" s="50" t="s">
        <v>123</v>
      </c>
      <c r="B504" s="11" t="s">
        <v>164</v>
      </c>
      <c r="C504" s="50">
        <v>3864298</v>
      </c>
      <c r="D504" s="50" t="s">
        <v>366</v>
      </c>
      <c r="E504" s="122" t="s">
        <v>368</v>
      </c>
      <c r="F504" s="50" t="s">
        <v>692</v>
      </c>
      <c r="G504" s="50" t="s">
        <v>692</v>
      </c>
      <c r="H504" s="50" t="s">
        <v>692</v>
      </c>
      <c r="I504" s="50" t="s">
        <v>692</v>
      </c>
      <c r="J504" s="67">
        <v>45018</v>
      </c>
      <c r="K504" s="67">
        <v>0</v>
      </c>
      <c r="L504" s="67">
        <v>45018</v>
      </c>
      <c r="M504" s="67">
        <v>38036.920067318104</v>
      </c>
      <c r="N504" s="67">
        <v>6981.079932681896</v>
      </c>
      <c r="O504" s="65">
        <v>0</v>
      </c>
      <c r="P504" s="84">
        <f t="shared" si="18"/>
        <v>1</v>
      </c>
      <c r="Q504" s="73"/>
      <c r="R504" s="73"/>
    </row>
    <row r="505" spans="1:18" customFormat="1" x14ac:dyDescent="0.3">
      <c r="A505" s="50" t="s">
        <v>123</v>
      </c>
      <c r="B505" s="11" t="s">
        <v>164</v>
      </c>
      <c r="C505" s="50">
        <v>3864298</v>
      </c>
      <c r="D505" s="50" t="s">
        <v>366</v>
      </c>
      <c r="E505" s="122" t="s">
        <v>201</v>
      </c>
      <c r="F505" s="50" t="s">
        <v>692</v>
      </c>
      <c r="G505" s="50" t="s">
        <v>692</v>
      </c>
      <c r="H505" s="50" t="s">
        <v>692</v>
      </c>
      <c r="I505" s="50" t="s">
        <v>692</v>
      </c>
      <c r="J505" s="67">
        <v>38622</v>
      </c>
      <c r="K505" s="67">
        <v>0</v>
      </c>
      <c r="L505" s="67">
        <v>38622</v>
      </c>
      <c r="M505" s="67">
        <v>32632.767489447771</v>
      </c>
      <c r="N505" s="67">
        <v>5989.2325105522286</v>
      </c>
      <c r="O505" s="65">
        <v>0</v>
      </c>
      <c r="P505" s="84">
        <f t="shared" si="18"/>
        <v>1</v>
      </c>
      <c r="Q505" s="73"/>
      <c r="R505" s="73"/>
    </row>
    <row r="506" spans="1:18" customFormat="1" x14ac:dyDescent="0.3">
      <c r="A506" s="50" t="s">
        <v>123</v>
      </c>
      <c r="B506" s="11" t="s">
        <v>164</v>
      </c>
      <c r="C506" s="50">
        <v>3864298</v>
      </c>
      <c r="D506" s="50" t="s">
        <v>366</v>
      </c>
      <c r="E506" s="122" t="s">
        <v>369</v>
      </c>
      <c r="F506" s="50" t="s">
        <v>692</v>
      </c>
      <c r="G506" s="50" t="s">
        <v>692</v>
      </c>
      <c r="H506" s="50" t="s">
        <v>692</v>
      </c>
      <c r="I506" s="50" t="s">
        <v>692</v>
      </c>
      <c r="J506" s="67">
        <v>35670</v>
      </c>
      <c r="K506" s="67">
        <v>0</v>
      </c>
      <c r="L506" s="67">
        <v>35670</v>
      </c>
      <c r="M506" s="67">
        <v>30138.54322273839</v>
      </c>
      <c r="N506" s="67">
        <v>5531.4567772616101</v>
      </c>
      <c r="O506" s="65">
        <v>0</v>
      </c>
      <c r="P506" s="84">
        <f t="shared" si="18"/>
        <v>1</v>
      </c>
      <c r="Q506" s="73"/>
      <c r="R506" s="73"/>
    </row>
    <row r="507" spans="1:18" customFormat="1" x14ac:dyDescent="0.3">
      <c r="A507" s="50" t="s">
        <v>123</v>
      </c>
      <c r="B507" s="11" t="s">
        <v>164</v>
      </c>
      <c r="C507" s="50">
        <v>3864298</v>
      </c>
      <c r="D507" s="50" t="s">
        <v>366</v>
      </c>
      <c r="E507" s="122" t="s">
        <v>363</v>
      </c>
      <c r="F507" s="50" t="s">
        <v>692</v>
      </c>
      <c r="G507" s="50" t="s">
        <v>692</v>
      </c>
      <c r="H507" s="50" t="s">
        <v>692</v>
      </c>
      <c r="I507" s="50" t="s">
        <v>692</v>
      </c>
      <c r="J507" s="67">
        <v>39942.730000000003</v>
      </c>
      <c r="K507" s="67">
        <v>0</v>
      </c>
      <c r="L507" s="67">
        <v>39942.730000000003</v>
      </c>
      <c r="M507" s="67">
        <v>33748.687819993538</v>
      </c>
      <c r="N507" s="67">
        <v>6194.0421800064651</v>
      </c>
      <c r="O507" s="65">
        <v>0</v>
      </c>
      <c r="P507" s="84">
        <f t="shared" si="18"/>
        <v>1</v>
      </c>
      <c r="Q507" s="73"/>
      <c r="R507" s="73"/>
    </row>
    <row r="508" spans="1:18" customFormat="1" x14ac:dyDescent="0.3">
      <c r="A508" s="50" t="s">
        <v>123</v>
      </c>
      <c r="B508" s="11" t="s">
        <v>164</v>
      </c>
      <c r="C508" s="50">
        <v>3864298</v>
      </c>
      <c r="D508" s="50" t="s">
        <v>366</v>
      </c>
      <c r="E508" s="122" t="s">
        <v>139</v>
      </c>
      <c r="F508" s="49" t="s">
        <v>692</v>
      </c>
      <c r="G508" s="49" t="s">
        <v>692</v>
      </c>
      <c r="H508" s="49" t="s">
        <v>692</v>
      </c>
      <c r="I508" s="49" t="s">
        <v>692</v>
      </c>
      <c r="J508" s="67">
        <v>22878</v>
      </c>
      <c r="K508" s="67">
        <v>0</v>
      </c>
      <c r="L508" s="67">
        <v>22878</v>
      </c>
      <c r="M508" s="67">
        <v>19330.238066997725</v>
      </c>
      <c r="N508" s="67">
        <v>3547.7619330022753</v>
      </c>
      <c r="O508" s="65">
        <v>0</v>
      </c>
      <c r="P508" s="84">
        <f t="shared" si="18"/>
        <v>1</v>
      </c>
      <c r="Q508" s="73"/>
      <c r="R508" s="73"/>
    </row>
    <row r="509" spans="1:18" customFormat="1" x14ac:dyDescent="0.3">
      <c r="A509" s="18" t="s">
        <v>123</v>
      </c>
      <c r="B509" s="18" t="s">
        <v>451</v>
      </c>
      <c r="C509" s="18">
        <v>3854262</v>
      </c>
      <c r="D509" s="18" t="s">
        <v>468</v>
      </c>
      <c r="E509" s="118" t="s">
        <v>469</v>
      </c>
      <c r="F509" s="18" t="s">
        <v>692</v>
      </c>
      <c r="G509" s="18" t="s">
        <v>692</v>
      </c>
      <c r="H509" s="18" t="s">
        <v>692</v>
      </c>
      <c r="I509" s="18" t="s">
        <v>692</v>
      </c>
      <c r="J509" s="67">
        <v>127600</v>
      </c>
      <c r="K509" s="67">
        <v>0</v>
      </c>
      <c r="L509" s="67">
        <v>127600</v>
      </c>
      <c r="M509" s="67">
        <v>108459.997763172</v>
      </c>
      <c r="N509" s="67">
        <v>19140.002236828004</v>
      </c>
      <c r="O509" s="65">
        <v>0</v>
      </c>
      <c r="P509" s="84">
        <f t="shared" si="18"/>
        <v>1</v>
      </c>
      <c r="Q509" s="73"/>
      <c r="R509" s="73"/>
    </row>
    <row r="510" spans="1:18" customFormat="1" x14ac:dyDescent="0.3">
      <c r="A510" s="18" t="s">
        <v>123</v>
      </c>
      <c r="B510" s="18" t="s">
        <v>451</v>
      </c>
      <c r="C510" s="18">
        <v>3854262</v>
      </c>
      <c r="D510" s="18" t="s">
        <v>468</v>
      </c>
      <c r="E510" s="131" t="s">
        <v>418</v>
      </c>
      <c r="F510" s="49" t="s">
        <v>692</v>
      </c>
      <c r="G510" s="49" t="s">
        <v>692</v>
      </c>
      <c r="H510" s="49" t="s">
        <v>692</v>
      </c>
      <c r="I510" s="49" t="s">
        <v>692</v>
      </c>
      <c r="J510" s="67">
        <v>110700</v>
      </c>
      <c r="K510" s="67">
        <v>0</v>
      </c>
      <c r="L510" s="67">
        <v>110700</v>
      </c>
      <c r="M510" s="67">
        <v>94094.998059428995</v>
      </c>
      <c r="N510" s="67">
        <v>16605.001940571005</v>
      </c>
      <c r="O510" s="65">
        <v>0</v>
      </c>
      <c r="P510" s="84">
        <f t="shared" si="18"/>
        <v>1</v>
      </c>
      <c r="Q510" s="73"/>
      <c r="R510" s="73"/>
    </row>
    <row r="511" spans="1:18" customFormat="1" x14ac:dyDescent="0.3">
      <c r="A511" s="18" t="s">
        <v>123</v>
      </c>
      <c r="B511" s="18" t="s">
        <v>451</v>
      </c>
      <c r="C511" s="18">
        <v>3857085</v>
      </c>
      <c r="D511" s="18" t="s">
        <v>470</v>
      </c>
      <c r="E511" s="118" t="s">
        <v>471</v>
      </c>
      <c r="F511" s="12" t="s">
        <v>692</v>
      </c>
      <c r="G511" s="12" t="s">
        <v>692</v>
      </c>
      <c r="H511" s="12" t="s">
        <v>692</v>
      </c>
      <c r="I511" s="12" t="s">
        <v>692</v>
      </c>
      <c r="J511" s="67">
        <v>0</v>
      </c>
      <c r="K511" s="67">
        <v>0</v>
      </c>
      <c r="L511" s="67">
        <v>0</v>
      </c>
      <c r="M511" s="67">
        <v>0</v>
      </c>
      <c r="N511" s="67">
        <v>0</v>
      </c>
      <c r="O511" s="65">
        <v>0</v>
      </c>
      <c r="P511" s="84" t="e">
        <f t="shared" si="18"/>
        <v>#DIV/0!</v>
      </c>
      <c r="Q511" s="73"/>
      <c r="R511" s="73"/>
    </row>
    <row r="512" spans="1:18" customFormat="1" x14ac:dyDescent="0.3">
      <c r="A512" s="18" t="s">
        <v>123</v>
      </c>
      <c r="B512" s="18" t="s">
        <v>451</v>
      </c>
      <c r="C512" s="18">
        <v>3857085</v>
      </c>
      <c r="D512" s="18" t="s">
        <v>470</v>
      </c>
      <c r="E512" s="116" t="s">
        <v>676</v>
      </c>
      <c r="F512" s="49" t="s">
        <v>692</v>
      </c>
      <c r="G512" s="49" t="s">
        <v>692</v>
      </c>
      <c r="H512" s="49" t="s">
        <v>692</v>
      </c>
      <c r="I512" s="49" t="s">
        <v>692</v>
      </c>
      <c r="J512" s="67">
        <v>117655.94</v>
      </c>
      <c r="K512" s="67">
        <v>17648.39</v>
      </c>
      <c r="L512" s="67">
        <v>100007.55</v>
      </c>
      <c r="M512" s="67">
        <v>100007.55</v>
      </c>
      <c r="N512" s="67">
        <v>0</v>
      </c>
      <c r="O512" s="65">
        <v>0</v>
      </c>
      <c r="P512" s="84">
        <f t="shared" si="18"/>
        <v>0.85000000849935842</v>
      </c>
      <c r="Q512" s="73"/>
      <c r="R512" s="73"/>
    </row>
    <row r="513" spans="1:18" customFormat="1" x14ac:dyDescent="0.3">
      <c r="A513" s="18" t="s">
        <v>123</v>
      </c>
      <c r="B513" s="18" t="s">
        <v>451</v>
      </c>
      <c r="C513" s="18">
        <v>3857085</v>
      </c>
      <c r="D513" s="18" t="s">
        <v>470</v>
      </c>
      <c r="E513" s="118" t="s">
        <v>472</v>
      </c>
      <c r="F513" s="29" t="s">
        <v>692</v>
      </c>
      <c r="G513" s="29">
        <v>23650</v>
      </c>
      <c r="H513" s="29" t="s">
        <v>699</v>
      </c>
      <c r="I513" s="29" t="s">
        <v>692</v>
      </c>
      <c r="J513" s="67">
        <v>56186.869999999995</v>
      </c>
      <c r="K513" s="67">
        <v>8428.0300000000007</v>
      </c>
      <c r="L513" s="67">
        <v>47758.84</v>
      </c>
      <c r="M513" s="67">
        <v>47758.84</v>
      </c>
      <c r="N513" s="67">
        <v>0</v>
      </c>
      <c r="O513" s="65">
        <v>0</v>
      </c>
      <c r="P513" s="84">
        <f t="shared" si="18"/>
        <v>0.85000000889887617</v>
      </c>
      <c r="Q513" s="73"/>
      <c r="R513" s="73"/>
    </row>
    <row r="514" spans="1:18" customFormat="1" ht="29.55" x14ac:dyDescent="0.3">
      <c r="A514" s="15" t="s">
        <v>123</v>
      </c>
      <c r="B514" s="12" t="s">
        <v>5</v>
      </c>
      <c r="C514" s="29">
        <v>3877738</v>
      </c>
      <c r="D514" s="29" t="s">
        <v>142</v>
      </c>
      <c r="E514" s="133" t="s">
        <v>143</v>
      </c>
      <c r="F514" s="12" t="s">
        <v>692</v>
      </c>
      <c r="G514" s="12" t="s">
        <v>692</v>
      </c>
      <c r="H514" s="12" t="s">
        <v>692</v>
      </c>
      <c r="I514" s="12" t="s">
        <v>692</v>
      </c>
      <c r="J514" s="64">
        <v>134070</v>
      </c>
      <c r="K514" s="64">
        <v>0</v>
      </c>
      <c r="L514" s="64">
        <v>134070</v>
      </c>
      <c r="M514" s="64">
        <v>113480.61058592972</v>
      </c>
      <c r="N514" s="64">
        <v>20589.389414070276</v>
      </c>
      <c r="O514" s="65">
        <v>0</v>
      </c>
      <c r="P514" s="84">
        <f t="shared" si="18"/>
        <v>1</v>
      </c>
      <c r="Q514" s="73"/>
      <c r="R514" s="73"/>
    </row>
    <row r="515" spans="1:18" customFormat="1" x14ac:dyDescent="0.3">
      <c r="A515" s="15" t="s">
        <v>123</v>
      </c>
      <c r="B515" s="12" t="s">
        <v>5</v>
      </c>
      <c r="C515" s="29">
        <v>3877738</v>
      </c>
      <c r="D515" s="29" t="s">
        <v>142</v>
      </c>
      <c r="E515" s="116" t="s">
        <v>677</v>
      </c>
      <c r="F515" s="29" t="s">
        <v>692</v>
      </c>
      <c r="G515" s="29" t="s">
        <v>692</v>
      </c>
      <c r="H515" s="29" t="s">
        <v>692</v>
      </c>
      <c r="I515" s="29" t="s">
        <v>692</v>
      </c>
      <c r="J515" s="64">
        <v>43050</v>
      </c>
      <c r="K515" s="64">
        <v>0</v>
      </c>
      <c r="L515" s="64">
        <v>43050</v>
      </c>
      <c r="M515" s="64">
        <v>36438.728169793947</v>
      </c>
      <c r="N515" s="64">
        <v>6611.271830206053</v>
      </c>
      <c r="O515" s="65">
        <v>0</v>
      </c>
      <c r="P515" s="84">
        <f t="shared" ref="P515:P583" si="21">L515/J515</f>
        <v>1</v>
      </c>
      <c r="Q515" s="73"/>
      <c r="R515" s="73"/>
    </row>
    <row r="516" spans="1:18" customFormat="1" ht="29.55" x14ac:dyDescent="0.3">
      <c r="A516" s="15" t="s">
        <v>123</v>
      </c>
      <c r="B516" s="12" t="s">
        <v>5</v>
      </c>
      <c r="C516" s="29">
        <v>3878454</v>
      </c>
      <c r="D516" s="29" t="s">
        <v>144</v>
      </c>
      <c r="E516" s="133" t="s">
        <v>143</v>
      </c>
      <c r="F516" s="12" t="s">
        <v>692</v>
      </c>
      <c r="G516" s="12" t="s">
        <v>692</v>
      </c>
      <c r="H516" s="12" t="s">
        <v>692</v>
      </c>
      <c r="I516" s="12" t="s">
        <v>692</v>
      </c>
      <c r="J516" s="64">
        <v>91721.1</v>
      </c>
      <c r="K516" s="64">
        <v>0</v>
      </c>
      <c r="L516" s="64">
        <v>91721.1</v>
      </c>
      <c r="M516" s="64">
        <v>77635.313132043855</v>
      </c>
      <c r="N516" s="64">
        <v>14085.786867956151</v>
      </c>
      <c r="O516" s="65">
        <v>0</v>
      </c>
      <c r="P516" s="84">
        <f t="shared" si="21"/>
        <v>1</v>
      </c>
      <c r="Q516" s="73"/>
      <c r="R516" s="73"/>
    </row>
    <row r="517" spans="1:18" customFormat="1" x14ac:dyDescent="0.3">
      <c r="A517" s="15" t="s">
        <v>123</v>
      </c>
      <c r="B517" s="12" t="s">
        <v>5</v>
      </c>
      <c r="C517" s="29">
        <v>3878454</v>
      </c>
      <c r="D517" s="29" t="s">
        <v>144</v>
      </c>
      <c r="E517" s="116" t="s">
        <v>677</v>
      </c>
      <c r="F517" s="50" t="s">
        <v>692</v>
      </c>
      <c r="G517" s="50" t="s">
        <v>692</v>
      </c>
      <c r="H517" s="50" t="s">
        <v>692</v>
      </c>
      <c r="I517" s="50" t="s">
        <v>692</v>
      </c>
      <c r="J517" s="64">
        <v>91020</v>
      </c>
      <c r="K517" s="64">
        <v>0</v>
      </c>
      <c r="L517" s="64">
        <v>91020</v>
      </c>
      <c r="M517" s="64">
        <v>77041.882416135777</v>
      </c>
      <c r="N517" s="64">
        <v>13978.117583864223</v>
      </c>
      <c r="O517" s="65">
        <v>0</v>
      </c>
      <c r="P517" s="84">
        <f t="shared" si="21"/>
        <v>1</v>
      </c>
      <c r="Q517" s="73"/>
      <c r="R517" s="73"/>
    </row>
    <row r="518" spans="1:18" customFormat="1" x14ac:dyDescent="0.3">
      <c r="A518" s="50" t="s">
        <v>123</v>
      </c>
      <c r="B518" s="11" t="s">
        <v>164</v>
      </c>
      <c r="C518" s="50">
        <v>3874043</v>
      </c>
      <c r="D518" s="50" t="s">
        <v>370</v>
      </c>
      <c r="E518" s="122" t="s">
        <v>371</v>
      </c>
      <c r="F518" s="50" t="s">
        <v>692</v>
      </c>
      <c r="G518" s="50" t="s">
        <v>692</v>
      </c>
      <c r="H518" s="50" t="s">
        <v>692</v>
      </c>
      <c r="I518" s="50" t="s">
        <v>692</v>
      </c>
      <c r="J518" s="67">
        <v>81180</v>
      </c>
      <c r="K518" s="67">
        <v>0</v>
      </c>
      <c r="L518" s="67">
        <v>81180</v>
      </c>
      <c r="M518" s="67">
        <v>68591.167334508049</v>
      </c>
      <c r="N518" s="67">
        <v>12588.832665491951</v>
      </c>
      <c r="O518" s="65">
        <v>0</v>
      </c>
      <c r="P518" s="84">
        <f t="shared" si="21"/>
        <v>1</v>
      </c>
      <c r="Q518" s="73"/>
      <c r="R518" s="73"/>
    </row>
    <row r="519" spans="1:18" customFormat="1" x14ac:dyDescent="0.3">
      <c r="A519" s="50" t="s">
        <v>123</v>
      </c>
      <c r="B519" s="11" t="s">
        <v>164</v>
      </c>
      <c r="C519" s="50">
        <v>3874043</v>
      </c>
      <c r="D519" s="50" t="s">
        <v>370</v>
      </c>
      <c r="E519" s="122" t="s">
        <v>372</v>
      </c>
      <c r="F519" s="50" t="s">
        <v>692</v>
      </c>
      <c r="G519" s="50" t="s">
        <v>692</v>
      </c>
      <c r="H519" s="50" t="s">
        <v>692</v>
      </c>
      <c r="I519" s="50" t="s">
        <v>692</v>
      </c>
      <c r="J519" s="67">
        <v>55965</v>
      </c>
      <c r="K519" s="67">
        <v>0</v>
      </c>
      <c r="L519" s="67">
        <v>55965</v>
      </c>
      <c r="M519" s="67">
        <v>47286.335056365402</v>
      </c>
      <c r="N519" s="67">
        <v>8678.6649436345979</v>
      </c>
      <c r="O519" s="65">
        <v>0</v>
      </c>
      <c r="P519" s="84">
        <f t="shared" si="21"/>
        <v>1</v>
      </c>
      <c r="Q519" s="73"/>
      <c r="R519" s="73"/>
    </row>
    <row r="520" spans="1:18" customFormat="1" x14ac:dyDescent="0.3">
      <c r="A520" s="50" t="s">
        <v>123</v>
      </c>
      <c r="B520" s="11" t="s">
        <v>164</v>
      </c>
      <c r="C520" s="50">
        <v>3874043</v>
      </c>
      <c r="D520" s="50" t="s">
        <v>370</v>
      </c>
      <c r="E520" s="122" t="s">
        <v>373</v>
      </c>
      <c r="F520" s="50" t="s">
        <v>692</v>
      </c>
      <c r="G520" s="50" t="s">
        <v>692</v>
      </c>
      <c r="H520" s="50" t="s">
        <v>692</v>
      </c>
      <c r="I520" s="50" t="s">
        <v>692</v>
      </c>
      <c r="J520" s="67">
        <v>43911</v>
      </c>
      <c r="K520" s="67">
        <v>0</v>
      </c>
      <c r="L520" s="67">
        <v>43911</v>
      </c>
      <c r="M520" s="67">
        <v>37101.585967302082</v>
      </c>
      <c r="N520" s="67">
        <v>6809.4140326979177</v>
      </c>
      <c r="O520" s="65">
        <v>0</v>
      </c>
      <c r="P520" s="84">
        <f t="shared" si="21"/>
        <v>1</v>
      </c>
      <c r="Q520" s="73"/>
      <c r="R520" s="73"/>
    </row>
    <row r="521" spans="1:18" customFormat="1" x14ac:dyDescent="0.3">
      <c r="A521" s="50" t="s">
        <v>123</v>
      </c>
      <c r="B521" s="11" t="s">
        <v>164</v>
      </c>
      <c r="C521" s="50">
        <v>3874043</v>
      </c>
      <c r="D521" s="50" t="s">
        <v>370</v>
      </c>
      <c r="E521" s="122" t="s">
        <v>374</v>
      </c>
      <c r="F521" s="50" t="s">
        <v>692</v>
      </c>
      <c r="G521" s="50" t="s">
        <v>692</v>
      </c>
      <c r="H521" s="50" t="s">
        <v>692</v>
      </c>
      <c r="I521" s="50" t="s">
        <v>692</v>
      </c>
      <c r="J521" s="67">
        <v>75927.899999999994</v>
      </c>
      <c r="K521" s="67">
        <v>0</v>
      </c>
      <c r="L521" s="67">
        <v>75927.899999999994</v>
      </c>
      <c r="M521" s="67">
        <v>64153.526659987605</v>
      </c>
      <c r="N521" s="67">
        <v>11774.373340012389</v>
      </c>
      <c r="O521" s="65">
        <v>0</v>
      </c>
      <c r="P521" s="84">
        <f t="shared" si="21"/>
        <v>1</v>
      </c>
      <c r="Q521" s="73"/>
      <c r="R521" s="73"/>
    </row>
    <row r="522" spans="1:18" customFormat="1" x14ac:dyDescent="0.3">
      <c r="A522" s="50" t="s">
        <v>123</v>
      </c>
      <c r="B522" s="11" t="s">
        <v>164</v>
      </c>
      <c r="C522" s="50">
        <v>3874043</v>
      </c>
      <c r="D522" s="50" t="s">
        <v>370</v>
      </c>
      <c r="E522" s="122" t="s">
        <v>168</v>
      </c>
      <c r="F522" s="29" t="s">
        <v>692</v>
      </c>
      <c r="G522" s="29" t="s">
        <v>692</v>
      </c>
      <c r="H522" s="29" t="s">
        <v>692</v>
      </c>
      <c r="I522" s="29" t="s">
        <v>692</v>
      </c>
      <c r="J522" s="67">
        <v>38130</v>
      </c>
      <c r="K522" s="67">
        <v>0</v>
      </c>
      <c r="L522" s="67">
        <v>38130</v>
      </c>
      <c r="M522" s="67">
        <v>32217.063444996209</v>
      </c>
      <c r="N522" s="67">
        <v>5912.936555003791</v>
      </c>
      <c r="O522" s="65">
        <v>0</v>
      </c>
      <c r="P522" s="84">
        <f t="shared" si="21"/>
        <v>1</v>
      </c>
      <c r="Q522" s="73"/>
      <c r="R522" s="73"/>
    </row>
    <row r="523" spans="1:18" customFormat="1" x14ac:dyDescent="0.3">
      <c r="A523" s="15" t="s">
        <v>123</v>
      </c>
      <c r="B523" s="12" t="s">
        <v>5</v>
      </c>
      <c r="C523" s="29">
        <v>3878445</v>
      </c>
      <c r="D523" s="29" t="s">
        <v>145</v>
      </c>
      <c r="E523" s="133" t="s">
        <v>146</v>
      </c>
      <c r="F523" s="29" t="s">
        <v>692</v>
      </c>
      <c r="G523" s="29">
        <v>23650</v>
      </c>
      <c r="H523" s="29">
        <v>9355511</v>
      </c>
      <c r="I523" s="29" t="s">
        <v>692</v>
      </c>
      <c r="J523" s="64">
        <v>75000</v>
      </c>
      <c r="K523" s="64">
        <v>11517.9</v>
      </c>
      <c r="L523" s="64">
        <v>63482.1</v>
      </c>
      <c r="M523" s="64">
        <v>63482.1</v>
      </c>
      <c r="N523" s="64">
        <v>0</v>
      </c>
      <c r="O523" s="65">
        <v>0</v>
      </c>
      <c r="P523" s="84">
        <f t="shared" si="21"/>
        <v>0.84642799999999996</v>
      </c>
      <c r="Q523" s="73"/>
      <c r="R523" s="73"/>
    </row>
    <row r="524" spans="1:18" customFormat="1" x14ac:dyDescent="0.3">
      <c r="A524" s="15" t="s">
        <v>123</v>
      </c>
      <c r="B524" s="12" t="s">
        <v>5</v>
      </c>
      <c r="C524" s="29">
        <v>3878445</v>
      </c>
      <c r="D524" s="29" t="s">
        <v>145</v>
      </c>
      <c r="E524" s="133" t="s">
        <v>147</v>
      </c>
      <c r="F524" s="12" t="s">
        <v>692</v>
      </c>
      <c r="G524" s="12">
        <v>23650</v>
      </c>
      <c r="H524" s="12">
        <v>9355526</v>
      </c>
      <c r="I524" s="12" t="s">
        <v>692</v>
      </c>
      <c r="J524" s="64">
        <v>35000</v>
      </c>
      <c r="K524" s="64">
        <v>5375.02</v>
      </c>
      <c r="L524" s="64">
        <v>29624.98</v>
      </c>
      <c r="M524" s="64">
        <v>29624.98</v>
      </c>
      <c r="N524" s="64">
        <v>0</v>
      </c>
      <c r="O524" s="65">
        <v>0</v>
      </c>
      <c r="P524" s="84">
        <f t="shared" si="21"/>
        <v>0.84642799999999996</v>
      </c>
      <c r="Q524" s="73"/>
      <c r="R524" s="73"/>
    </row>
    <row r="525" spans="1:18" customFormat="1" x14ac:dyDescent="0.3">
      <c r="A525" s="15" t="s">
        <v>123</v>
      </c>
      <c r="B525" s="12" t="s">
        <v>5</v>
      </c>
      <c r="C525" s="29">
        <v>3878445</v>
      </c>
      <c r="D525" s="29" t="s">
        <v>145</v>
      </c>
      <c r="E525" s="116" t="s">
        <v>678</v>
      </c>
      <c r="F525" s="29" t="s">
        <v>692</v>
      </c>
      <c r="G525" s="29" t="s">
        <v>692</v>
      </c>
      <c r="H525" s="29" t="s">
        <v>692</v>
      </c>
      <c r="I525" s="29" t="s">
        <v>692</v>
      </c>
      <c r="J525" s="64">
        <v>40000</v>
      </c>
      <c r="K525" s="64">
        <v>6142.88</v>
      </c>
      <c r="L525" s="64">
        <v>33857.120000000003</v>
      </c>
      <c r="M525" s="64">
        <v>33857.120000000003</v>
      </c>
      <c r="N525" s="64">
        <v>0</v>
      </c>
      <c r="O525" s="65">
        <v>0</v>
      </c>
      <c r="P525" s="84">
        <f t="shared" si="21"/>
        <v>0.84642800000000007</v>
      </c>
      <c r="Q525" s="73"/>
      <c r="R525" s="73"/>
    </row>
    <row r="526" spans="1:18" customFormat="1" x14ac:dyDescent="0.3">
      <c r="A526" s="15" t="s">
        <v>123</v>
      </c>
      <c r="B526" s="12" t="s">
        <v>5</v>
      </c>
      <c r="C526" s="29">
        <v>3882561</v>
      </c>
      <c r="D526" s="29" t="s">
        <v>148</v>
      </c>
      <c r="E526" s="133" t="s">
        <v>149</v>
      </c>
      <c r="F526" s="12" t="s">
        <v>692</v>
      </c>
      <c r="G526" s="12">
        <v>23650</v>
      </c>
      <c r="H526" s="12">
        <v>9355307</v>
      </c>
      <c r="I526" s="12" t="s">
        <v>692</v>
      </c>
      <c r="J526" s="64">
        <v>98400</v>
      </c>
      <c r="K526" s="64">
        <v>15111.48</v>
      </c>
      <c r="L526" s="64">
        <v>83288.52</v>
      </c>
      <c r="M526" s="64">
        <v>83288.52</v>
      </c>
      <c r="N526" s="64">
        <v>0</v>
      </c>
      <c r="O526" s="65">
        <v>0</v>
      </c>
      <c r="P526" s="84">
        <f t="shared" si="21"/>
        <v>0.84642804878048783</v>
      </c>
      <c r="Q526" s="73"/>
      <c r="R526" s="73"/>
    </row>
    <row r="527" spans="1:18" customFormat="1" x14ac:dyDescent="0.3">
      <c r="A527" s="11" t="s">
        <v>123</v>
      </c>
      <c r="B527" s="12" t="s">
        <v>474</v>
      </c>
      <c r="C527" s="12">
        <v>3709830</v>
      </c>
      <c r="D527" s="12" t="s">
        <v>583</v>
      </c>
      <c r="E527" s="116" t="s">
        <v>126</v>
      </c>
      <c r="F527" s="12" t="s">
        <v>692</v>
      </c>
      <c r="G527" s="12" t="s">
        <v>692</v>
      </c>
      <c r="H527" s="12" t="s">
        <v>692</v>
      </c>
      <c r="I527" s="12" t="s">
        <v>692</v>
      </c>
      <c r="J527" s="64">
        <v>110600</v>
      </c>
      <c r="K527" s="64">
        <v>0</v>
      </c>
      <c r="L527" s="64">
        <v>110600</v>
      </c>
      <c r="M527" s="64">
        <v>94009.997930120997</v>
      </c>
      <c r="N527" s="64">
        <v>16590.002069879003</v>
      </c>
      <c r="O527" s="65">
        <v>0</v>
      </c>
      <c r="P527" s="84">
        <f t="shared" si="21"/>
        <v>1</v>
      </c>
      <c r="Q527" s="73"/>
      <c r="R527" s="73"/>
    </row>
    <row r="528" spans="1:18" customFormat="1" x14ac:dyDescent="0.3">
      <c r="A528" s="11" t="s">
        <v>123</v>
      </c>
      <c r="B528" s="12" t="s">
        <v>474</v>
      </c>
      <c r="C528" s="12">
        <v>3709830</v>
      </c>
      <c r="D528" s="12" t="s">
        <v>583</v>
      </c>
      <c r="E528" s="116" t="s">
        <v>584</v>
      </c>
      <c r="F528" s="50" t="s">
        <v>692</v>
      </c>
      <c r="G528" s="50" t="s">
        <v>692</v>
      </c>
      <c r="H528" s="50" t="s">
        <v>692</v>
      </c>
      <c r="I528" s="50" t="s">
        <v>692</v>
      </c>
      <c r="J528" s="64">
        <v>16380</v>
      </c>
      <c r="K528" s="64">
        <v>0</v>
      </c>
      <c r="L528" s="64">
        <v>16380</v>
      </c>
      <c r="M528" s="64">
        <v>13922.999693448301</v>
      </c>
      <c r="N528" s="64">
        <v>2457.0003065516994</v>
      </c>
      <c r="O528" s="65">
        <v>0</v>
      </c>
      <c r="P528" s="84">
        <f t="shared" si="21"/>
        <v>1</v>
      </c>
      <c r="Q528" s="73"/>
      <c r="R528" s="73"/>
    </row>
    <row r="529" spans="1:18" customFormat="1" x14ac:dyDescent="0.3">
      <c r="A529" s="50" t="s">
        <v>123</v>
      </c>
      <c r="B529" s="11" t="s">
        <v>164</v>
      </c>
      <c r="C529" s="50">
        <v>3873676</v>
      </c>
      <c r="D529" s="50" t="s">
        <v>375</v>
      </c>
      <c r="E529" s="122" t="s">
        <v>376</v>
      </c>
      <c r="F529" s="50" t="s">
        <v>692</v>
      </c>
      <c r="G529" s="50" t="s">
        <v>692</v>
      </c>
      <c r="H529" s="50" t="s">
        <v>692</v>
      </c>
      <c r="I529" s="50" t="s">
        <v>692</v>
      </c>
      <c r="J529" s="67">
        <v>22626.39</v>
      </c>
      <c r="K529" s="67">
        <v>0</v>
      </c>
      <c r="L529" s="67">
        <v>22626.39</v>
      </c>
      <c r="M529" s="67">
        <v>19117.646004752893</v>
      </c>
      <c r="N529" s="67">
        <v>3508.7439952471068</v>
      </c>
      <c r="O529" s="65">
        <v>0</v>
      </c>
      <c r="P529" s="84">
        <f t="shared" si="21"/>
        <v>1</v>
      </c>
      <c r="Q529" s="73"/>
      <c r="R529" s="73"/>
    </row>
    <row r="530" spans="1:18" customFormat="1" x14ac:dyDescent="0.3">
      <c r="A530" s="50" t="s">
        <v>123</v>
      </c>
      <c r="B530" s="11" t="s">
        <v>164</v>
      </c>
      <c r="C530" s="50">
        <v>3873676</v>
      </c>
      <c r="D530" s="50" t="s">
        <v>375</v>
      </c>
      <c r="E530" s="122" t="s">
        <v>377</v>
      </c>
      <c r="F530" s="50" t="s">
        <v>692</v>
      </c>
      <c r="G530" s="50" t="s">
        <v>692</v>
      </c>
      <c r="H530" s="50" t="s">
        <v>692</v>
      </c>
      <c r="I530" s="50" t="s">
        <v>692</v>
      </c>
      <c r="J530" s="67">
        <v>44122.149999999994</v>
      </c>
      <c r="K530" s="67">
        <v>6842.1576837761822</v>
      </c>
      <c r="L530" s="67">
        <v>37279.992316223812</v>
      </c>
      <c r="M530" s="67">
        <v>37279.992316223812</v>
      </c>
      <c r="N530" s="67">
        <v>0</v>
      </c>
      <c r="O530" s="65">
        <v>0</v>
      </c>
      <c r="P530" s="84">
        <f t="shared" si="21"/>
        <v>0.84492692029340855</v>
      </c>
      <c r="Q530" s="73"/>
      <c r="R530" s="73"/>
    </row>
    <row r="531" spans="1:18" customFormat="1" ht="15.4" x14ac:dyDescent="0.3">
      <c r="A531" s="50" t="s">
        <v>123</v>
      </c>
      <c r="B531" s="11" t="s">
        <v>164</v>
      </c>
      <c r="C531" s="50">
        <v>3873676</v>
      </c>
      <c r="D531" s="50" t="s">
        <v>375</v>
      </c>
      <c r="E531" s="122" t="s">
        <v>378</v>
      </c>
      <c r="F531" s="50" t="s">
        <v>692</v>
      </c>
      <c r="G531" s="50" t="s">
        <v>692</v>
      </c>
      <c r="H531" s="50" t="s">
        <v>692</v>
      </c>
      <c r="I531" s="50" t="s">
        <v>692</v>
      </c>
      <c r="J531" s="67">
        <v>42400.56</v>
      </c>
      <c r="K531" s="67">
        <v>0</v>
      </c>
      <c r="L531" s="67">
        <v>42400.56</v>
      </c>
      <c r="M531" s="123">
        <f>35825.37</f>
        <v>35825.370000000003</v>
      </c>
      <c r="N531" s="123">
        <f>L531-(M531+O531)</f>
        <v>717.42999999999302</v>
      </c>
      <c r="O531" s="123">
        <v>5857.76</v>
      </c>
      <c r="P531" s="84">
        <f t="shared" si="21"/>
        <v>1</v>
      </c>
      <c r="Q531" s="73"/>
      <c r="R531" s="73"/>
    </row>
    <row r="532" spans="1:18" customFormat="1" x14ac:dyDescent="0.3">
      <c r="A532" s="50" t="s">
        <v>123</v>
      </c>
      <c r="B532" s="11" t="s">
        <v>164</v>
      </c>
      <c r="C532" s="50">
        <v>3873676</v>
      </c>
      <c r="D532" s="50" t="s">
        <v>375</v>
      </c>
      <c r="E532" s="122" t="s">
        <v>379</v>
      </c>
      <c r="F532" s="50" t="s">
        <v>692</v>
      </c>
      <c r="G532" s="50" t="s">
        <v>692</v>
      </c>
      <c r="H532" s="50" t="s">
        <v>692</v>
      </c>
      <c r="I532" s="50" t="s">
        <v>692</v>
      </c>
      <c r="J532" s="67">
        <v>42397.05</v>
      </c>
      <c r="K532" s="67">
        <v>0</v>
      </c>
      <c r="L532" s="67">
        <v>42397.05</v>
      </c>
      <c r="M532" s="67">
        <v>35822.408857347931</v>
      </c>
      <c r="N532" s="67">
        <v>6574.6411426520717</v>
      </c>
      <c r="O532" s="65">
        <v>0</v>
      </c>
      <c r="P532" s="84">
        <f t="shared" si="21"/>
        <v>1</v>
      </c>
      <c r="Q532" s="73"/>
      <c r="R532" s="73"/>
    </row>
    <row r="533" spans="1:18" customFormat="1" x14ac:dyDescent="0.3">
      <c r="A533" s="50" t="s">
        <v>123</v>
      </c>
      <c r="B533" s="11" t="s">
        <v>164</v>
      </c>
      <c r="C533" s="50">
        <v>3873676</v>
      </c>
      <c r="D533" s="50" t="s">
        <v>375</v>
      </c>
      <c r="E533" s="122" t="s">
        <v>380</v>
      </c>
      <c r="F533" s="50" t="s">
        <v>692</v>
      </c>
      <c r="G533" s="50" t="s">
        <v>692</v>
      </c>
      <c r="H533" s="50" t="s">
        <v>692</v>
      </c>
      <c r="I533" s="50" t="s">
        <v>692</v>
      </c>
      <c r="J533" s="67">
        <v>24004.01</v>
      </c>
      <c r="K533" s="67">
        <v>0</v>
      </c>
      <c r="L533" s="67">
        <v>24004.01</v>
      </c>
      <c r="M533" s="67">
        <v>20281.634227755661</v>
      </c>
      <c r="N533" s="67">
        <v>3722.375772244337</v>
      </c>
      <c r="O533" s="65">
        <v>0</v>
      </c>
      <c r="P533" s="84">
        <f t="shared" si="21"/>
        <v>1</v>
      </c>
      <c r="Q533" s="73"/>
      <c r="R533" s="73"/>
    </row>
    <row r="534" spans="1:18" customFormat="1" x14ac:dyDescent="0.3">
      <c r="A534" s="50" t="s">
        <v>123</v>
      </c>
      <c r="B534" s="11" t="s">
        <v>164</v>
      </c>
      <c r="C534" s="50">
        <v>3873676</v>
      </c>
      <c r="D534" s="50" t="s">
        <v>375</v>
      </c>
      <c r="E534" s="122" t="s">
        <v>381</v>
      </c>
      <c r="F534" s="50" t="s">
        <v>692</v>
      </c>
      <c r="G534" s="50" t="s">
        <v>692</v>
      </c>
      <c r="H534" s="50" t="s">
        <v>692</v>
      </c>
      <c r="I534" s="50" t="s">
        <v>692</v>
      </c>
      <c r="J534" s="67">
        <v>39596.58</v>
      </c>
      <c r="K534" s="67">
        <v>0</v>
      </c>
      <c r="L534" s="67">
        <v>39596.58</v>
      </c>
      <c r="M534" s="67">
        <v>33456.216366768109</v>
      </c>
      <c r="N534" s="67">
        <v>6140.3636332318929</v>
      </c>
      <c r="O534" s="65">
        <v>0</v>
      </c>
      <c r="P534" s="84">
        <f t="shared" si="21"/>
        <v>1</v>
      </c>
      <c r="Q534" s="73"/>
      <c r="R534" s="73"/>
    </row>
    <row r="535" spans="1:18" customFormat="1" x14ac:dyDescent="0.3">
      <c r="A535" s="50" t="s">
        <v>123</v>
      </c>
      <c r="B535" s="11" t="s">
        <v>164</v>
      </c>
      <c r="C535" s="50">
        <v>3873676</v>
      </c>
      <c r="D535" s="50" t="s">
        <v>375</v>
      </c>
      <c r="E535" s="122" t="s">
        <v>382</v>
      </c>
      <c r="F535" s="50" t="s">
        <v>692</v>
      </c>
      <c r="G535" s="50" t="s">
        <v>692</v>
      </c>
      <c r="H535" s="50" t="s">
        <v>692</v>
      </c>
      <c r="I535" s="50" t="s">
        <v>692</v>
      </c>
      <c r="J535" s="67">
        <v>42799.08</v>
      </c>
      <c r="K535" s="67">
        <v>0</v>
      </c>
      <c r="L535" s="67">
        <v>42799.08</v>
      </c>
      <c r="M535" s="67">
        <v>36162.094826841552</v>
      </c>
      <c r="N535" s="67">
        <v>6636.9851731584495</v>
      </c>
      <c r="O535" s="65">
        <v>0</v>
      </c>
      <c r="P535" s="84">
        <f t="shared" si="21"/>
        <v>1</v>
      </c>
      <c r="Q535" s="73"/>
      <c r="R535" s="73"/>
    </row>
    <row r="536" spans="1:18" customFormat="1" x14ac:dyDescent="0.3">
      <c r="A536" s="50" t="s">
        <v>123</v>
      </c>
      <c r="B536" s="11" t="s">
        <v>164</v>
      </c>
      <c r="C536" s="50">
        <v>3873676</v>
      </c>
      <c r="D536" s="50" t="s">
        <v>375</v>
      </c>
      <c r="E536" s="122" t="s">
        <v>383</v>
      </c>
      <c r="F536" s="49" t="s">
        <v>692</v>
      </c>
      <c r="G536" s="49" t="s">
        <v>692</v>
      </c>
      <c r="H536" s="49" t="s">
        <v>692</v>
      </c>
      <c r="I536" s="49" t="s">
        <v>692</v>
      </c>
      <c r="J536" s="67">
        <v>42312</v>
      </c>
      <c r="K536" s="67">
        <v>0</v>
      </c>
      <c r="L536" s="67">
        <v>42312</v>
      </c>
      <c r="M536" s="67">
        <v>35750.547822834502</v>
      </c>
      <c r="N536" s="67">
        <v>6561.4521771654981</v>
      </c>
      <c r="O536" s="65">
        <v>0</v>
      </c>
      <c r="P536" s="84">
        <f t="shared" si="21"/>
        <v>1</v>
      </c>
      <c r="Q536" s="73"/>
      <c r="R536" s="73"/>
    </row>
    <row r="537" spans="1:18" customFormat="1" x14ac:dyDescent="0.3">
      <c r="A537" s="18" t="s">
        <v>123</v>
      </c>
      <c r="B537" s="18" t="s">
        <v>451</v>
      </c>
      <c r="C537" s="18">
        <v>3883193</v>
      </c>
      <c r="D537" s="18" t="s">
        <v>473</v>
      </c>
      <c r="E537" s="118" t="s">
        <v>464</v>
      </c>
      <c r="F537" s="12" t="s">
        <v>692</v>
      </c>
      <c r="G537" s="12" t="s">
        <v>692</v>
      </c>
      <c r="H537" s="12" t="s">
        <v>692</v>
      </c>
      <c r="I537" s="12" t="s">
        <v>692</v>
      </c>
      <c r="J537" s="67">
        <v>150000</v>
      </c>
      <c r="K537" s="67">
        <v>0</v>
      </c>
      <c r="L537" s="67">
        <v>150000</v>
      </c>
      <c r="M537" s="67">
        <v>127499.9973705</v>
      </c>
      <c r="N537" s="67">
        <v>22500.002629499999</v>
      </c>
      <c r="O537" s="65">
        <v>0</v>
      </c>
      <c r="P537" s="84">
        <f t="shared" si="21"/>
        <v>1</v>
      </c>
      <c r="Q537" s="73"/>
      <c r="R537" s="73"/>
    </row>
    <row r="538" spans="1:18" customFormat="1" x14ac:dyDescent="0.3">
      <c r="A538" s="11" t="s">
        <v>123</v>
      </c>
      <c r="B538" s="12" t="s">
        <v>474</v>
      </c>
      <c r="C538" s="12">
        <v>3877200</v>
      </c>
      <c r="D538" s="12" t="s">
        <v>585</v>
      </c>
      <c r="E538" s="116" t="s">
        <v>554</v>
      </c>
      <c r="F538" s="12" t="s">
        <v>692</v>
      </c>
      <c r="G538" s="12" t="s">
        <v>692</v>
      </c>
      <c r="H538" s="12" t="s">
        <v>692</v>
      </c>
      <c r="I538" s="12" t="s">
        <v>692</v>
      </c>
      <c r="J538" s="64">
        <v>44895</v>
      </c>
      <c r="K538" s="64">
        <v>0</v>
      </c>
      <c r="L538" s="64">
        <v>44895</v>
      </c>
      <c r="M538" s="64">
        <v>38160.749159790073</v>
      </c>
      <c r="N538" s="64">
        <v>6734.2508402099265</v>
      </c>
      <c r="O538" s="65">
        <v>0</v>
      </c>
      <c r="P538" s="84">
        <f t="shared" si="21"/>
        <v>1</v>
      </c>
      <c r="Q538" s="73"/>
      <c r="R538" s="73"/>
    </row>
    <row r="539" spans="1:18" customFormat="1" x14ac:dyDescent="0.3">
      <c r="A539" s="11" t="s">
        <v>123</v>
      </c>
      <c r="B539" s="12" t="s">
        <v>474</v>
      </c>
      <c r="C539" s="12">
        <v>3877200</v>
      </c>
      <c r="D539" s="12" t="s">
        <v>585</v>
      </c>
      <c r="E539" s="116" t="s">
        <v>586</v>
      </c>
      <c r="F539" s="12" t="s">
        <v>692</v>
      </c>
      <c r="G539" s="12" t="s">
        <v>692</v>
      </c>
      <c r="H539" s="12" t="s">
        <v>692</v>
      </c>
      <c r="I539" s="12" t="s">
        <v>692</v>
      </c>
      <c r="J539" s="64">
        <v>34932</v>
      </c>
      <c r="K539" s="64">
        <v>5239.7999999999993</v>
      </c>
      <c r="L539" s="64">
        <v>29692.2</v>
      </c>
      <c r="M539" s="64">
        <v>29692.2</v>
      </c>
      <c r="N539" s="64">
        <v>0</v>
      </c>
      <c r="O539" s="65">
        <v>0</v>
      </c>
      <c r="P539" s="84">
        <f t="shared" si="21"/>
        <v>0.85</v>
      </c>
      <c r="Q539" s="73"/>
      <c r="R539" s="73"/>
    </row>
    <row r="540" spans="1:18" customFormat="1" x14ac:dyDescent="0.3">
      <c r="A540" s="11" t="s">
        <v>123</v>
      </c>
      <c r="B540" s="12" t="s">
        <v>474</v>
      </c>
      <c r="C540" s="12">
        <v>3877200</v>
      </c>
      <c r="D540" s="12" t="s">
        <v>585</v>
      </c>
      <c r="E540" s="116" t="s">
        <v>556</v>
      </c>
      <c r="F540" s="12" t="s">
        <v>692</v>
      </c>
      <c r="G540" s="12" t="s">
        <v>692</v>
      </c>
      <c r="H540" s="12" t="s">
        <v>692</v>
      </c>
      <c r="I540" s="12" t="s">
        <v>692</v>
      </c>
      <c r="J540" s="64">
        <v>32718</v>
      </c>
      <c r="K540" s="64">
        <v>4907.7000000000007</v>
      </c>
      <c r="L540" s="64">
        <v>27810.3</v>
      </c>
      <c r="M540" s="64">
        <v>27810.3</v>
      </c>
      <c r="N540" s="64">
        <v>0</v>
      </c>
      <c r="O540" s="65">
        <v>0</v>
      </c>
      <c r="P540" s="84">
        <f t="shared" si="21"/>
        <v>0.85</v>
      </c>
      <c r="Q540" s="73"/>
      <c r="R540" s="73"/>
    </row>
    <row r="541" spans="1:18" customFormat="1" x14ac:dyDescent="0.3">
      <c r="A541" s="11" t="s">
        <v>123</v>
      </c>
      <c r="B541" s="12" t="s">
        <v>474</v>
      </c>
      <c r="C541" s="12">
        <v>3877200</v>
      </c>
      <c r="D541" s="12" t="s">
        <v>585</v>
      </c>
      <c r="E541" s="116" t="s">
        <v>393</v>
      </c>
      <c r="F541" s="50" t="s">
        <v>692</v>
      </c>
      <c r="G541" s="50" t="s">
        <v>692</v>
      </c>
      <c r="H541" s="50" t="s">
        <v>692</v>
      </c>
      <c r="I541" s="50" t="s">
        <v>692</v>
      </c>
      <c r="J541" s="64">
        <v>40680.36</v>
      </c>
      <c r="K541" s="64">
        <v>0</v>
      </c>
      <c r="L541" s="64">
        <v>40680.36</v>
      </c>
      <c r="M541" s="64">
        <v>34578.305238667061</v>
      </c>
      <c r="N541" s="64">
        <v>6102.05476133294</v>
      </c>
      <c r="O541" s="65">
        <v>0</v>
      </c>
      <c r="P541" s="84">
        <f t="shared" si="21"/>
        <v>1</v>
      </c>
      <c r="Q541" s="73"/>
      <c r="R541" s="73"/>
    </row>
    <row r="542" spans="1:18" customFormat="1" x14ac:dyDescent="0.3">
      <c r="A542" s="50" t="s">
        <v>123</v>
      </c>
      <c r="B542" s="11" t="s">
        <v>164</v>
      </c>
      <c r="C542" s="50">
        <v>3883179</v>
      </c>
      <c r="D542" s="50" t="s">
        <v>384</v>
      </c>
      <c r="E542" s="122" t="s">
        <v>385</v>
      </c>
      <c r="F542" s="50" t="s">
        <v>692</v>
      </c>
      <c r="G542" s="50" t="s">
        <v>692</v>
      </c>
      <c r="H542" s="50" t="s">
        <v>692</v>
      </c>
      <c r="I542" s="50" t="s">
        <v>692</v>
      </c>
      <c r="J542" s="67">
        <v>18450</v>
      </c>
      <c r="K542" s="67">
        <v>0</v>
      </c>
      <c r="L542" s="67">
        <v>18450</v>
      </c>
      <c r="M542" s="67">
        <v>15588.901666933649</v>
      </c>
      <c r="N542" s="67">
        <v>2861.0983330663512</v>
      </c>
      <c r="O542" s="65">
        <v>0</v>
      </c>
      <c r="P542" s="84">
        <f t="shared" si="21"/>
        <v>1</v>
      </c>
      <c r="Q542" s="73"/>
      <c r="R542" s="73"/>
    </row>
    <row r="543" spans="1:18" customFormat="1" ht="29.55" x14ac:dyDescent="0.3">
      <c r="A543" s="50" t="s">
        <v>123</v>
      </c>
      <c r="B543" s="11" t="s">
        <v>164</v>
      </c>
      <c r="C543" s="50">
        <v>3883179</v>
      </c>
      <c r="D543" s="50" t="s">
        <v>384</v>
      </c>
      <c r="E543" s="122" t="s">
        <v>386</v>
      </c>
      <c r="F543" s="50" t="s">
        <v>692</v>
      </c>
      <c r="G543" s="50" t="s">
        <v>692</v>
      </c>
      <c r="H543" s="50" t="s">
        <v>692</v>
      </c>
      <c r="I543" s="50" t="s">
        <v>692</v>
      </c>
      <c r="J543" s="67">
        <v>125322.35</v>
      </c>
      <c r="K543" s="67">
        <v>19434.125757545524</v>
      </c>
      <c r="L543" s="67">
        <v>105888.22424245448</v>
      </c>
      <c r="M543" s="67">
        <v>105888.22424245448</v>
      </c>
      <c r="N543" s="67">
        <v>0</v>
      </c>
      <c r="O543" s="65">
        <v>0</v>
      </c>
      <c r="P543" s="84">
        <f t="shared" si="21"/>
        <v>0.84492689645904717</v>
      </c>
      <c r="Q543" s="73"/>
      <c r="R543" s="73"/>
    </row>
    <row r="544" spans="1:18" customFormat="1" x14ac:dyDescent="0.3">
      <c r="A544" s="50" t="s">
        <v>123</v>
      </c>
      <c r="B544" s="11" t="s">
        <v>164</v>
      </c>
      <c r="C544" s="50">
        <v>3883179</v>
      </c>
      <c r="D544" s="50" t="s">
        <v>384</v>
      </c>
      <c r="E544" s="122" t="s">
        <v>387</v>
      </c>
      <c r="F544" s="50" t="s">
        <v>692</v>
      </c>
      <c r="G544" s="50" t="s">
        <v>692</v>
      </c>
      <c r="H544" s="50" t="s">
        <v>692</v>
      </c>
      <c r="I544" s="50" t="s">
        <v>692</v>
      </c>
      <c r="J544" s="67">
        <v>73800</v>
      </c>
      <c r="K544" s="67">
        <v>11444.392500000002</v>
      </c>
      <c r="L544" s="67">
        <v>62355.607499999998</v>
      </c>
      <c r="M544" s="67">
        <v>62355.607499999998</v>
      </c>
      <c r="N544" s="67">
        <v>0</v>
      </c>
      <c r="O544" s="65">
        <v>0</v>
      </c>
      <c r="P544" s="84">
        <f t="shared" si="21"/>
        <v>0.84492693089430893</v>
      </c>
      <c r="Q544" s="73"/>
      <c r="R544" s="73"/>
    </row>
    <row r="545" spans="1:18" customFormat="1" x14ac:dyDescent="0.3">
      <c r="A545" s="50" t="s">
        <v>123</v>
      </c>
      <c r="B545" s="11" t="s">
        <v>164</v>
      </c>
      <c r="C545" s="50">
        <v>3883179</v>
      </c>
      <c r="D545" s="50" t="s">
        <v>384</v>
      </c>
      <c r="E545" s="122" t="s">
        <v>388</v>
      </c>
      <c r="F545" s="12" t="s">
        <v>692</v>
      </c>
      <c r="G545" s="12" t="s">
        <v>692</v>
      </c>
      <c r="H545" s="12" t="s">
        <v>692</v>
      </c>
      <c r="I545" s="12" t="s">
        <v>692</v>
      </c>
      <c r="J545" s="67">
        <v>0</v>
      </c>
      <c r="K545" s="67">
        <v>0</v>
      </c>
      <c r="L545" s="67">
        <v>0</v>
      </c>
      <c r="M545" s="67">
        <v>0</v>
      </c>
      <c r="N545" s="67">
        <v>0</v>
      </c>
      <c r="O545" s="65">
        <v>0</v>
      </c>
      <c r="P545" s="84" t="e">
        <f t="shared" si="21"/>
        <v>#DIV/0!</v>
      </c>
      <c r="Q545" s="73"/>
      <c r="R545" s="73"/>
    </row>
    <row r="546" spans="1:18" customFormat="1" x14ac:dyDescent="0.3">
      <c r="A546" s="11" t="s">
        <v>123</v>
      </c>
      <c r="B546" s="12" t="s">
        <v>601</v>
      </c>
      <c r="C546" s="12">
        <v>3880739</v>
      </c>
      <c r="D546" s="12" t="s">
        <v>656</v>
      </c>
      <c r="E546" s="116" t="s">
        <v>657</v>
      </c>
      <c r="F546" s="12" t="s">
        <v>692</v>
      </c>
      <c r="G546" s="12" t="s">
        <v>692</v>
      </c>
      <c r="H546" s="12" t="s">
        <v>692</v>
      </c>
      <c r="I546" s="12" t="s">
        <v>692</v>
      </c>
      <c r="J546" s="64">
        <v>146985</v>
      </c>
      <c r="K546" s="64">
        <v>0</v>
      </c>
      <c r="L546" s="64">
        <v>146985</v>
      </c>
      <c r="M546" s="64">
        <v>0</v>
      </c>
      <c r="N546" s="64">
        <v>146985</v>
      </c>
      <c r="O546" s="65">
        <v>0</v>
      </c>
      <c r="P546" s="84">
        <f t="shared" si="21"/>
        <v>1</v>
      </c>
      <c r="Q546" s="73"/>
      <c r="R546" s="73"/>
    </row>
    <row r="547" spans="1:18" customFormat="1" x14ac:dyDescent="0.3">
      <c r="A547" s="11" t="s">
        <v>123</v>
      </c>
      <c r="B547" s="12" t="s">
        <v>474</v>
      </c>
      <c r="C547" s="12">
        <v>3876675</v>
      </c>
      <c r="D547" s="12" t="s">
        <v>587</v>
      </c>
      <c r="E547" s="116" t="s">
        <v>136</v>
      </c>
      <c r="F547" s="12" t="s">
        <v>692</v>
      </c>
      <c r="G547" s="12" t="s">
        <v>692</v>
      </c>
      <c r="H547" s="12" t="s">
        <v>692</v>
      </c>
      <c r="I547" s="12" t="s">
        <v>692</v>
      </c>
      <c r="J547" s="64">
        <v>43526</v>
      </c>
      <c r="K547" s="64">
        <v>0</v>
      </c>
      <c r="L547" s="64">
        <v>43526</v>
      </c>
      <c r="M547" s="64">
        <v>0</v>
      </c>
      <c r="N547" s="64">
        <v>0</v>
      </c>
      <c r="O547" s="65">
        <v>43526</v>
      </c>
      <c r="P547" s="84">
        <f t="shared" si="21"/>
        <v>1</v>
      </c>
      <c r="Q547" s="73"/>
      <c r="R547" s="73"/>
    </row>
    <row r="548" spans="1:18" customFormat="1" x14ac:dyDescent="0.3">
      <c r="A548" s="11" t="s">
        <v>123</v>
      </c>
      <c r="B548" s="12" t="s">
        <v>474</v>
      </c>
      <c r="C548" s="12">
        <v>3876675</v>
      </c>
      <c r="D548" s="12" t="s">
        <v>587</v>
      </c>
      <c r="E548" s="116" t="s">
        <v>588</v>
      </c>
      <c r="F548" s="12" t="s">
        <v>692</v>
      </c>
      <c r="G548" s="12" t="s">
        <v>692</v>
      </c>
      <c r="H548" s="12" t="s">
        <v>692</v>
      </c>
      <c r="I548" s="12" t="s">
        <v>692</v>
      </c>
      <c r="J548" s="130">
        <f>22454.68-7850.82</f>
        <v>14603.86</v>
      </c>
      <c r="K548" s="64">
        <v>0</v>
      </c>
      <c r="L548" s="130">
        <f>22454.68-7850.82</f>
        <v>14603.86</v>
      </c>
      <c r="M548" s="64">
        <v>0</v>
      </c>
      <c r="N548" s="64">
        <v>0</v>
      </c>
      <c r="O548" s="130">
        <f>22454.68-7850.82</f>
        <v>14603.86</v>
      </c>
      <c r="P548" s="84">
        <f t="shared" si="21"/>
        <v>1</v>
      </c>
      <c r="Q548" s="73"/>
      <c r="R548" s="73"/>
    </row>
    <row r="549" spans="1:18" customFormat="1" x14ac:dyDescent="0.3">
      <c r="A549" s="11" t="s">
        <v>123</v>
      </c>
      <c r="B549" s="12" t="s">
        <v>474</v>
      </c>
      <c r="C549" s="12">
        <v>3876675</v>
      </c>
      <c r="D549" s="12" t="s">
        <v>587</v>
      </c>
      <c r="E549" s="116" t="s">
        <v>589</v>
      </c>
      <c r="F549" s="12" t="s">
        <v>692</v>
      </c>
      <c r="G549" s="12" t="s">
        <v>692</v>
      </c>
      <c r="H549" s="12" t="s">
        <v>692</v>
      </c>
      <c r="I549" s="12" t="s">
        <v>692</v>
      </c>
      <c r="J549" s="130">
        <f>27164.68+871.61</f>
        <v>28036.29</v>
      </c>
      <c r="K549" s="64">
        <v>0</v>
      </c>
      <c r="L549" s="130">
        <f>27164.68+871.61</f>
        <v>28036.29</v>
      </c>
      <c r="M549" s="64">
        <v>0</v>
      </c>
      <c r="N549" s="64">
        <v>0</v>
      </c>
      <c r="O549" s="130">
        <f>27164.68+871.61</f>
        <v>28036.29</v>
      </c>
      <c r="P549" s="84">
        <f t="shared" si="21"/>
        <v>1</v>
      </c>
      <c r="Q549" s="73"/>
      <c r="R549" s="73"/>
    </row>
    <row r="550" spans="1:18" customFormat="1" ht="29.55" x14ac:dyDescent="0.3">
      <c r="A550" s="50" t="s">
        <v>123</v>
      </c>
      <c r="B550" s="11" t="s">
        <v>164</v>
      </c>
      <c r="C550" s="50">
        <v>3877493</v>
      </c>
      <c r="D550" s="50" t="s">
        <v>389</v>
      </c>
      <c r="E550" s="116" t="s">
        <v>192</v>
      </c>
      <c r="F550" s="50" t="s">
        <v>692</v>
      </c>
      <c r="G550" s="50" t="s">
        <v>692</v>
      </c>
      <c r="H550" s="50" t="s">
        <v>692</v>
      </c>
      <c r="I550" s="50" t="s">
        <v>692</v>
      </c>
      <c r="J550" s="67">
        <v>71955</v>
      </c>
      <c r="K550" s="67">
        <v>0</v>
      </c>
      <c r="L550" s="67">
        <v>71955</v>
      </c>
      <c r="M550" s="67">
        <v>0</v>
      </c>
      <c r="N550" s="67">
        <v>0</v>
      </c>
      <c r="O550" s="65">
        <v>71955</v>
      </c>
      <c r="P550" s="84">
        <f t="shared" si="21"/>
        <v>1</v>
      </c>
      <c r="Q550" s="73"/>
      <c r="R550" s="73"/>
    </row>
    <row r="551" spans="1:18" customFormat="1" x14ac:dyDescent="0.3">
      <c r="A551" s="50" t="s">
        <v>123</v>
      </c>
      <c r="B551" s="11" t="s">
        <v>164</v>
      </c>
      <c r="C551" s="50">
        <v>3877493</v>
      </c>
      <c r="D551" s="50" t="s">
        <v>389</v>
      </c>
      <c r="E551" s="122" t="s">
        <v>390</v>
      </c>
      <c r="F551" s="50" t="s">
        <v>692</v>
      </c>
      <c r="G551" s="50" t="s">
        <v>692</v>
      </c>
      <c r="H551" s="50" t="s">
        <v>692</v>
      </c>
      <c r="I551" s="50" t="s">
        <v>692</v>
      </c>
      <c r="J551" s="67">
        <v>19680</v>
      </c>
      <c r="K551" s="67">
        <v>0</v>
      </c>
      <c r="L551" s="67">
        <v>19680</v>
      </c>
      <c r="M551" s="67">
        <v>0</v>
      </c>
      <c r="N551" s="67">
        <v>0</v>
      </c>
      <c r="O551" s="65">
        <v>19680</v>
      </c>
      <c r="P551" s="84">
        <f t="shared" si="21"/>
        <v>1</v>
      </c>
      <c r="Q551" s="73"/>
      <c r="R551" s="73"/>
    </row>
    <row r="552" spans="1:18" customFormat="1" x14ac:dyDescent="0.3">
      <c r="A552" s="50" t="s">
        <v>123</v>
      </c>
      <c r="B552" s="11" t="s">
        <v>164</v>
      </c>
      <c r="C552" s="50">
        <v>3877493</v>
      </c>
      <c r="D552" s="50" t="s">
        <v>389</v>
      </c>
      <c r="E552" s="122" t="s">
        <v>391</v>
      </c>
      <c r="F552" s="50" t="s">
        <v>692</v>
      </c>
      <c r="G552" s="50" t="s">
        <v>692</v>
      </c>
      <c r="H552" s="50" t="s">
        <v>692</v>
      </c>
      <c r="I552" s="50" t="s">
        <v>692</v>
      </c>
      <c r="J552" s="67">
        <v>19680</v>
      </c>
      <c r="K552" s="67">
        <v>0</v>
      </c>
      <c r="L552" s="67">
        <v>19680</v>
      </c>
      <c r="M552" s="67">
        <v>0</v>
      </c>
      <c r="N552" s="67">
        <v>0</v>
      </c>
      <c r="O552" s="65">
        <v>19680</v>
      </c>
      <c r="P552" s="84">
        <f t="shared" si="21"/>
        <v>1</v>
      </c>
      <c r="Q552" s="73"/>
      <c r="R552" s="73"/>
    </row>
    <row r="553" spans="1:18" customFormat="1" x14ac:dyDescent="0.3">
      <c r="A553" s="50" t="s">
        <v>123</v>
      </c>
      <c r="B553" s="11" t="s">
        <v>164</v>
      </c>
      <c r="C553" s="50">
        <v>3877493</v>
      </c>
      <c r="D553" s="50" t="s">
        <v>389</v>
      </c>
      <c r="E553" s="122" t="s">
        <v>392</v>
      </c>
      <c r="F553" s="50" t="s">
        <v>692</v>
      </c>
      <c r="G553" s="50" t="s">
        <v>692</v>
      </c>
      <c r="H553" s="50" t="s">
        <v>692</v>
      </c>
      <c r="I553" s="50" t="s">
        <v>692</v>
      </c>
      <c r="J553" s="67">
        <v>9963</v>
      </c>
      <c r="K553" s="67">
        <v>0</v>
      </c>
      <c r="L553" s="67">
        <v>9963</v>
      </c>
      <c r="M553" s="67">
        <v>0</v>
      </c>
      <c r="N553" s="67">
        <v>0</v>
      </c>
      <c r="O553" s="65">
        <v>9963</v>
      </c>
      <c r="P553" s="84">
        <f t="shared" si="21"/>
        <v>1</v>
      </c>
      <c r="Q553" s="73"/>
      <c r="R553" s="73"/>
    </row>
    <row r="554" spans="1:18" customFormat="1" x14ac:dyDescent="0.3">
      <c r="A554" s="50" t="s">
        <v>123</v>
      </c>
      <c r="B554" s="11" t="s">
        <v>164</v>
      </c>
      <c r="C554" s="50">
        <v>3877493</v>
      </c>
      <c r="D554" s="50" t="s">
        <v>389</v>
      </c>
      <c r="E554" s="122" t="s">
        <v>393</v>
      </c>
      <c r="F554" s="50" t="s">
        <v>692</v>
      </c>
      <c r="G554" s="50" t="s">
        <v>692</v>
      </c>
      <c r="H554" s="50" t="s">
        <v>692</v>
      </c>
      <c r="I554" s="50" t="s">
        <v>692</v>
      </c>
      <c r="J554" s="67">
        <v>18450</v>
      </c>
      <c r="K554" s="67">
        <v>0</v>
      </c>
      <c r="L554" s="67">
        <v>18450</v>
      </c>
      <c r="M554" s="67">
        <v>0</v>
      </c>
      <c r="N554" s="67">
        <v>0</v>
      </c>
      <c r="O554" s="65">
        <v>18450</v>
      </c>
      <c r="P554" s="84">
        <f t="shared" si="21"/>
        <v>1</v>
      </c>
      <c r="Q554" s="73"/>
      <c r="R554" s="73"/>
    </row>
    <row r="555" spans="1:18" customFormat="1" x14ac:dyDescent="0.3">
      <c r="A555" s="50" t="s">
        <v>123</v>
      </c>
      <c r="B555" s="11" t="s">
        <v>164</v>
      </c>
      <c r="C555" s="50">
        <v>3877493</v>
      </c>
      <c r="D555" s="50" t="s">
        <v>389</v>
      </c>
      <c r="E555" s="122" t="s">
        <v>394</v>
      </c>
      <c r="F555" s="50" t="s">
        <v>692</v>
      </c>
      <c r="G555" s="50" t="s">
        <v>692</v>
      </c>
      <c r="H555" s="50" t="s">
        <v>692</v>
      </c>
      <c r="I555" s="50" t="s">
        <v>692</v>
      </c>
      <c r="J555" s="67">
        <v>12454.98</v>
      </c>
      <c r="K555" s="67">
        <v>0</v>
      </c>
      <c r="L555" s="67">
        <v>12454.98</v>
      </c>
      <c r="M555" s="67">
        <v>0</v>
      </c>
      <c r="N555" s="67">
        <v>0</v>
      </c>
      <c r="O555" s="65">
        <v>12454.98</v>
      </c>
      <c r="P555" s="84">
        <f t="shared" si="21"/>
        <v>1</v>
      </c>
      <c r="Q555" s="73"/>
      <c r="R555" s="73"/>
    </row>
    <row r="556" spans="1:18" customFormat="1" x14ac:dyDescent="0.3">
      <c r="A556" s="50" t="s">
        <v>123</v>
      </c>
      <c r="B556" s="11" t="s">
        <v>164</v>
      </c>
      <c r="C556" s="50">
        <v>3877493</v>
      </c>
      <c r="D556" s="50" t="s">
        <v>389</v>
      </c>
      <c r="E556" s="122" t="s">
        <v>395</v>
      </c>
      <c r="F556" s="50" t="s">
        <v>692</v>
      </c>
      <c r="G556" s="50" t="s">
        <v>692</v>
      </c>
      <c r="H556" s="50" t="s">
        <v>692</v>
      </c>
      <c r="I556" s="50" t="s">
        <v>692</v>
      </c>
      <c r="J556" s="67">
        <v>26445</v>
      </c>
      <c r="K556" s="67">
        <v>0</v>
      </c>
      <c r="L556" s="67">
        <v>26445</v>
      </c>
      <c r="M556" s="67">
        <v>0</v>
      </c>
      <c r="N556" s="67">
        <v>0</v>
      </c>
      <c r="O556" s="65">
        <v>26445</v>
      </c>
      <c r="P556" s="84">
        <f t="shared" si="21"/>
        <v>1</v>
      </c>
      <c r="Q556" s="73"/>
      <c r="R556" s="73"/>
    </row>
    <row r="557" spans="1:18" customFormat="1" x14ac:dyDescent="0.3">
      <c r="A557" s="50" t="s">
        <v>123</v>
      </c>
      <c r="B557" s="11" t="s">
        <v>164</v>
      </c>
      <c r="C557" s="50">
        <v>3886445</v>
      </c>
      <c r="D557" s="50" t="s">
        <v>396</v>
      </c>
      <c r="E557" s="122" t="s">
        <v>397</v>
      </c>
      <c r="F557" s="29" t="s">
        <v>692</v>
      </c>
      <c r="G557" s="29" t="s">
        <v>692</v>
      </c>
      <c r="H557" s="29" t="s">
        <v>692</v>
      </c>
      <c r="I557" s="29" t="s">
        <v>692</v>
      </c>
      <c r="J557" s="67">
        <v>149445</v>
      </c>
      <c r="K557" s="67">
        <v>0</v>
      </c>
      <c r="L557" s="67">
        <v>149445</v>
      </c>
      <c r="M557" s="67">
        <v>0</v>
      </c>
      <c r="N557" s="67">
        <v>5918.58</v>
      </c>
      <c r="O557" s="65">
        <v>143526.42000000001</v>
      </c>
      <c r="P557" s="84">
        <f t="shared" si="21"/>
        <v>1</v>
      </c>
      <c r="Q557" s="73"/>
      <c r="R557" s="73"/>
    </row>
    <row r="558" spans="1:18" customFormat="1" x14ac:dyDescent="0.3">
      <c r="A558" s="15" t="s">
        <v>123</v>
      </c>
      <c r="B558" s="12" t="s">
        <v>5</v>
      </c>
      <c r="C558" s="29">
        <v>3837222</v>
      </c>
      <c r="D558" s="29" t="s">
        <v>150</v>
      </c>
      <c r="E558" s="133" t="s">
        <v>151</v>
      </c>
      <c r="F558" s="29" t="s">
        <v>692</v>
      </c>
      <c r="G558" s="29" t="s">
        <v>692</v>
      </c>
      <c r="H558" s="29" t="s">
        <v>692</v>
      </c>
      <c r="I558" s="29" t="s">
        <v>692</v>
      </c>
      <c r="J558" s="64">
        <v>135614.21</v>
      </c>
      <c r="K558" s="64">
        <v>0</v>
      </c>
      <c r="L558" s="64">
        <v>135614.21</v>
      </c>
      <c r="M558" s="64">
        <v>0</v>
      </c>
      <c r="N558" s="64">
        <v>20826.54</v>
      </c>
      <c r="O558" s="65">
        <v>114787.66999999998</v>
      </c>
      <c r="P558" s="84">
        <f t="shared" si="21"/>
        <v>1</v>
      </c>
      <c r="Q558" s="73"/>
      <c r="R558" s="73"/>
    </row>
    <row r="559" spans="1:18" customFormat="1" ht="59.1" x14ac:dyDescent="0.3">
      <c r="A559" s="15" t="s">
        <v>123</v>
      </c>
      <c r="B559" s="12" t="s">
        <v>5</v>
      </c>
      <c r="C559" s="29">
        <v>3837222</v>
      </c>
      <c r="D559" s="29" t="s">
        <v>150</v>
      </c>
      <c r="E559" s="133" t="s">
        <v>152</v>
      </c>
      <c r="F559" s="29" t="s">
        <v>692</v>
      </c>
      <c r="G559" s="29" t="s">
        <v>692</v>
      </c>
      <c r="H559" s="29" t="s">
        <v>692</v>
      </c>
      <c r="I559" s="29" t="s">
        <v>692</v>
      </c>
      <c r="J559" s="64">
        <v>26568</v>
      </c>
      <c r="K559" s="64">
        <v>0</v>
      </c>
      <c r="L559" s="64">
        <v>26568</v>
      </c>
      <c r="M559" s="64">
        <v>0</v>
      </c>
      <c r="N559" s="64">
        <v>4080.1</v>
      </c>
      <c r="O559" s="65">
        <v>22487.9</v>
      </c>
      <c r="P559" s="84">
        <f t="shared" si="21"/>
        <v>1</v>
      </c>
      <c r="Q559" s="73"/>
      <c r="R559" s="73"/>
    </row>
    <row r="560" spans="1:18" customFormat="1" x14ac:dyDescent="0.3">
      <c r="A560" s="15" t="s">
        <v>123</v>
      </c>
      <c r="B560" s="12" t="s">
        <v>5</v>
      </c>
      <c r="C560" s="29">
        <v>3837222</v>
      </c>
      <c r="D560" s="29" t="s">
        <v>150</v>
      </c>
      <c r="E560" s="133" t="s">
        <v>153</v>
      </c>
      <c r="F560" s="29" t="s">
        <v>692</v>
      </c>
      <c r="G560" s="29" t="s">
        <v>692</v>
      </c>
      <c r="H560" s="29" t="s">
        <v>692</v>
      </c>
      <c r="I560" s="29" t="s">
        <v>692</v>
      </c>
      <c r="J560" s="64">
        <v>18794.400000000001</v>
      </c>
      <c r="K560" s="64">
        <v>0</v>
      </c>
      <c r="L560" s="64">
        <v>18794.400000000001</v>
      </c>
      <c r="M560" s="64">
        <v>0</v>
      </c>
      <c r="N560" s="64">
        <v>2886.29</v>
      </c>
      <c r="O560" s="65">
        <v>15908.11</v>
      </c>
      <c r="P560" s="84">
        <f t="shared" si="21"/>
        <v>1</v>
      </c>
      <c r="Q560" s="73"/>
      <c r="R560" s="73"/>
    </row>
    <row r="561" spans="1:18" customFormat="1" x14ac:dyDescent="0.3">
      <c r="A561" s="15" t="s">
        <v>123</v>
      </c>
      <c r="B561" s="12" t="s">
        <v>5</v>
      </c>
      <c r="C561" s="29">
        <v>3887349</v>
      </c>
      <c r="D561" s="134" t="s">
        <v>154</v>
      </c>
      <c r="E561" s="133" t="s">
        <v>155</v>
      </c>
      <c r="F561" s="29" t="s">
        <v>692</v>
      </c>
      <c r="G561" s="29">
        <v>23650</v>
      </c>
      <c r="H561" s="29">
        <v>10356197</v>
      </c>
      <c r="I561" s="29" t="s">
        <v>692</v>
      </c>
      <c r="J561" s="64">
        <v>19495.5</v>
      </c>
      <c r="K561" s="64">
        <v>2993.96</v>
      </c>
      <c r="L561" s="64">
        <v>16501.54</v>
      </c>
      <c r="M561" s="64">
        <v>0</v>
      </c>
      <c r="N561" s="64">
        <v>0</v>
      </c>
      <c r="O561" s="65">
        <v>16501.54</v>
      </c>
      <c r="P561" s="84">
        <f t="shared" si="21"/>
        <v>0.84642815008591732</v>
      </c>
      <c r="Q561" s="73"/>
      <c r="R561" s="73"/>
    </row>
    <row r="562" spans="1:18" customFormat="1" x14ac:dyDescent="0.3">
      <c r="A562" s="15" t="s">
        <v>123</v>
      </c>
      <c r="B562" s="12" t="s">
        <v>5</v>
      </c>
      <c r="C562" s="29">
        <v>3887349</v>
      </c>
      <c r="D562" s="134" t="s">
        <v>154</v>
      </c>
      <c r="E562" s="133" t="s">
        <v>156</v>
      </c>
      <c r="F562" s="29" t="s">
        <v>692</v>
      </c>
      <c r="G562" s="29">
        <v>23650</v>
      </c>
      <c r="H562" s="29">
        <v>10356531</v>
      </c>
      <c r="I562" s="29" t="s">
        <v>692</v>
      </c>
      <c r="J562" s="64">
        <v>10455</v>
      </c>
      <c r="K562" s="64">
        <v>1605.59</v>
      </c>
      <c r="L562" s="64">
        <v>8849.41</v>
      </c>
      <c r="M562" s="64">
        <v>0</v>
      </c>
      <c r="N562" s="64">
        <v>0</v>
      </c>
      <c r="O562" s="65">
        <v>8849.41</v>
      </c>
      <c r="P562" s="84">
        <f t="shared" si="21"/>
        <v>0.84642850310856044</v>
      </c>
      <c r="Q562" s="73"/>
      <c r="R562" s="73"/>
    </row>
    <row r="563" spans="1:18" customFormat="1" x14ac:dyDescent="0.3">
      <c r="A563" s="15" t="s">
        <v>123</v>
      </c>
      <c r="B563" s="12" t="s">
        <v>5</v>
      </c>
      <c r="C563" s="29">
        <v>3887349</v>
      </c>
      <c r="D563" s="134" t="s">
        <v>154</v>
      </c>
      <c r="E563" s="133" t="s">
        <v>157</v>
      </c>
      <c r="F563" s="29" t="s">
        <v>692</v>
      </c>
      <c r="G563" s="29">
        <v>23650</v>
      </c>
      <c r="H563" s="29">
        <v>10356895</v>
      </c>
      <c r="I563" s="29" t="s">
        <v>692</v>
      </c>
      <c r="J563" s="64">
        <v>33640.5</v>
      </c>
      <c r="K563" s="64">
        <v>5166.24</v>
      </c>
      <c r="L563" s="64">
        <v>28474.26</v>
      </c>
      <c r="M563" s="64">
        <v>0</v>
      </c>
      <c r="N563" s="64">
        <v>0</v>
      </c>
      <c r="O563" s="65">
        <v>28474.26</v>
      </c>
      <c r="P563" s="84">
        <f t="shared" si="21"/>
        <v>0.84642796629063177</v>
      </c>
      <c r="Q563" s="73"/>
      <c r="R563" s="73"/>
    </row>
    <row r="564" spans="1:18" customFormat="1" x14ac:dyDescent="0.3">
      <c r="A564" s="15" t="s">
        <v>123</v>
      </c>
      <c r="B564" s="12" t="s">
        <v>5</v>
      </c>
      <c r="C564" s="29">
        <v>3887349</v>
      </c>
      <c r="D564" s="134" t="s">
        <v>154</v>
      </c>
      <c r="E564" s="133" t="s">
        <v>158</v>
      </c>
      <c r="F564" s="50" t="s">
        <v>692</v>
      </c>
      <c r="G564" s="50">
        <v>23650</v>
      </c>
      <c r="H564" s="50">
        <v>10358567</v>
      </c>
      <c r="I564" s="50" t="s">
        <v>692</v>
      </c>
      <c r="J564" s="64">
        <v>18302.400000000001</v>
      </c>
      <c r="K564" s="64">
        <v>2810.73</v>
      </c>
      <c r="L564" s="64">
        <v>15491.67</v>
      </c>
      <c r="M564" s="64">
        <v>0</v>
      </c>
      <c r="N564" s="64">
        <v>0</v>
      </c>
      <c r="O564" s="65">
        <v>15491.67</v>
      </c>
      <c r="P564" s="84">
        <f t="shared" si="21"/>
        <v>0.84642833726724354</v>
      </c>
      <c r="Q564" s="73"/>
      <c r="R564" s="73"/>
    </row>
    <row r="565" spans="1:18" customFormat="1" x14ac:dyDescent="0.3">
      <c r="A565" s="50" t="s">
        <v>123</v>
      </c>
      <c r="B565" s="11" t="s">
        <v>164</v>
      </c>
      <c r="C565" s="50">
        <v>3883297</v>
      </c>
      <c r="D565" s="50" t="s">
        <v>398</v>
      </c>
      <c r="E565" s="122" t="s">
        <v>67</v>
      </c>
      <c r="F565" s="12" t="s">
        <v>692</v>
      </c>
      <c r="G565" s="12" t="s">
        <v>692</v>
      </c>
      <c r="H565" s="12" t="s">
        <v>692</v>
      </c>
      <c r="I565" s="12" t="s">
        <v>692</v>
      </c>
      <c r="J565" s="67">
        <v>99138</v>
      </c>
      <c r="K565" s="67">
        <v>0</v>
      </c>
      <c r="L565" s="67">
        <v>99138</v>
      </c>
      <c r="M565" s="67">
        <v>0</v>
      </c>
      <c r="N565" s="67">
        <v>15373.635043009854</v>
      </c>
      <c r="O565" s="65">
        <v>83764.364956990146</v>
      </c>
      <c r="P565" s="84">
        <f t="shared" si="21"/>
        <v>1</v>
      </c>
      <c r="Q565" s="73"/>
      <c r="R565" s="73"/>
    </row>
    <row r="566" spans="1:18" customFormat="1" x14ac:dyDescent="0.3">
      <c r="A566" s="11" t="s">
        <v>123</v>
      </c>
      <c r="B566" s="12" t="s">
        <v>601</v>
      </c>
      <c r="C566" s="12">
        <v>3890167</v>
      </c>
      <c r="D566" s="12" t="s">
        <v>658</v>
      </c>
      <c r="E566" s="116" t="s">
        <v>371</v>
      </c>
      <c r="F566" s="12" t="s">
        <v>692</v>
      </c>
      <c r="G566" s="12" t="s">
        <v>692</v>
      </c>
      <c r="H566" s="12" t="s">
        <v>692</v>
      </c>
      <c r="I566" s="12" t="s">
        <v>692</v>
      </c>
      <c r="J566" s="64">
        <v>105638.55</v>
      </c>
      <c r="K566" s="64">
        <v>0</v>
      </c>
      <c r="L566" s="64">
        <v>105638.55</v>
      </c>
      <c r="M566" s="64">
        <v>14600.45</v>
      </c>
      <c r="N566" s="64">
        <v>91038.1</v>
      </c>
      <c r="O566" s="65">
        <v>0</v>
      </c>
      <c r="P566" s="84">
        <f t="shared" si="21"/>
        <v>1</v>
      </c>
      <c r="Q566" s="73"/>
      <c r="R566" s="73"/>
    </row>
    <row r="567" spans="1:18" customFormat="1" x14ac:dyDescent="0.3">
      <c r="A567" s="11" t="s">
        <v>123</v>
      </c>
      <c r="B567" s="12" t="s">
        <v>601</v>
      </c>
      <c r="C567" s="12">
        <v>3890167</v>
      </c>
      <c r="D567" s="12" t="s">
        <v>658</v>
      </c>
      <c r="E567" s="116" t="s">
        <v>126</v>
      </c>
      <c r="F567" s="12" t="s">
        <v>692</v>
      </c>
      <c r="G567" s="12" t="s">
        <v>692</v>
      </c>
      <c r="H567" s="12" t="s">
        <v>692</v>
      </c>
      <c r="I567" s="12" t="s">
        <v>692</v>
      </c>
      <c r="J567" s="64">
        <v>94347.6</v>
      </c>
      <c r="K567" s="64">
        <v>0</v>
      </c>
      <c r="L567" s="64">
        <v>94347.6</v>
      </c>
      <c r="M567" s="64">
        <v>0</v>
      </c>
      <c r="N567" s="64">
        <v>14152.142898546968</v>
      </c>
      <c r="O567" s="65">
        <v>80195.457101453037</v>
      </c>
      <c r="P567" s="84">
        <f t="shared" si="21"/>
        <v>1</v>
      </c>
      <c r="Q567" s="73"/>
      <c r="R567" s="73"/>
    </row>
    <row r="568" spans="1:18" customFormat="1" x14ac:dyDescent="0.3">
      <c r="A568" s="11" t="s">
        <v>123</v>
      </c>
      <c r="B568" s="12" t="s">
        <v>601</v>
      </c>
      <c r="C568" s="12">
        <v>3909277</v>
      </c>
      <c r="D568" s="12" t="s">
        <v>659</v>
      </c>
      <c r="E568" s="116" t="s">
        <v>679</v>
      </c>
      <c r="F568" s="12" t="s">
        <v>692</v>
      </c>
      <c r="G568" s="12" t="s">
        <v>692</v>
      </c>
      <c r="H568" s="12" t="s">
        <v>692</v>
      </c>
      <c r="I568" s="12" t="s">
        <v>692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5">
        <v>0</v>
      </c>
      <c r="P568" s="84" t="e">
        <f t="shared" si="21"/>
        <v>#DIV/0!</v>
      </c>
      <c r="Q568" s="73"/>
      <c r="R568" s="73"/>
    </row>
    <row r="569" spans="1:18" customFormat="1" x14ac:dyDescent="0.3">
      <c r="A569" s="11" t="s">
        <v>123</v>
      </c>
      <c r="B569" s="12" t="s">
        <v>601</v>
      </c>
      <c r="C569" s="12">
        <v>3909277</v>
      </c>
      <c r="D569" s="12" t="s">
        <v>659</v>
      </c>
      <c r="E569" s="116" t="s">
        <v>660</v>
      </c>
      <c r="F569" s="12" t="s">
        <v>692</v>
      </c>
      <c r="G569" s="12" t="s">
        <v>692</v>
      </c>
      <c r="H569" s="12" t="s">
        <v>692</v>
      </c>
      <c r="I569" s="12" t="s">
        <v>692</v>
      </c>
      <c r="J569" s="64">
        <v>134998.65</v>
      </c>
      <c r="K569" s="64">
        <v>0</v>
      </c>
      <c r="L569" s="64">
        <v>134998.65</v>
      </c>
      <c r="M569" s="64">
        <v>0</v>
      </c>
      <c r="N569" s="64">
        <v>20249.801647428525</v>
      </c>
      <c r="O569" s="65">
        <v>114748.84835257147</v>
      </c>
      <c r="P569" s="84">
        <f t="shared" si="21"/>
        <v>1</v>
      </c>
      <c r="Q569" s="73"/>
      <c r="R569" s="73"/>
    </row>
    <row r="570" spans="1:18" customFormat="1" x14ac:dyDescent="0.3">
      <c r="A570" s="15" t="s">
        <v>123</v>
      </c>
      <c r="B570" s="12" t="s">
        <v>5</v>
      </c>
      <c r="C570" s="29">
        <v>3906032</v>
      </c>
      <c r="D570" s="29" t="s">
        <v>159</v>
      </c>
      <c r="E570" s="116" t="s">
        <v>59</v>
      </c>
      <c r="F570" s="29" t="s">
        <v>692</v>
      </c>
      <c r="G570" s="29" t="s">
        <v>692</v>
      </c>
      <c r="H570" s="29" t="s">
        <v>692</v>
      </c>
      <c r="I570" s="29" t="s">
        <v>692</v>
      </c>
      <c r="J570" s="64">
        <v>76260</v>
      </c>
      <c r="K570" s="64">
        <v>0</v>
      </c>
      <c r="L570" s="64">
        <v>76260</v>
      </c>
      <c r="M570" s="64">
        <v>0</v>
      </c>
      <c r="N570" s="64">
        <v>11711.395813507865</v>
      </c>
      <c r="O570" s="65">
        <v>64548.604186492135</v>
      </c>
      <c r="P570" s="84">
        <f t="shared" si="21"/>
        <v>1</v>
      </c>
      <c r="Q570" s="73"/>
      <c r="R570" s="73"/>
    </row>
    <row r="571" spans="1:18" customFormat="1" x14ac:dyDescent="0.3">
      <c r="A571" s="15" t="s">
        <v>123</v>
      </c>
      <c r="B571" s="12" t="s">
        <v>5</v>
      </c>
      <c r="C571" s="29">
        <v>3906032</v>
      </c>
      <c r="D571" s="29" t="s">
        <v>159</v>
      </c>
      <c r="E571" s="133" t="s">
        <v>160</v>
      </c>
      <c r="F571" s="29" t="s">
        <v>692</v>
      </c>
      <c r="G571" s="29" t="s">
        <v>692</v>
      </c>
      <c r="H571" s="29" t="s">
        <v>692</v>
      </c>
      <c r="I571" s="29" t="s">
        <v>692</v>
      </c>
      <c r="J571" s="64">
        <v>73800</v>
      </c>
      <c r="K571" s="64">
        <v>0</v>
      </c>
      <c r="L571" s="64">
        <v>73800</v>
      </c>
      <c r="M571" s="64">
        <v>0</v>
      </c>
      <c r="N571" s="64">
        <v>11333.608851781799</v>
      </c>
      <c r="O571" s="65">
        <v>62466.391148218201</v>
      </c>
      <c r="P571" s="84">
        <f t="shared" si="21"/>
        <v>1</v>
      </c>
      <c r="Q571" s="73"/>
      <c r="R571" s="73"/>
    </row>
    <row r="572" spans="1:18" customFormat="1" x14ac:dyDescent="0.3">
      <c r="A572" s="15" t="s">
        <v>123</v>
      </c>
      <c r="B572" s="12" t="s">
        <v>5</v>
      </c>
      <c r="C572" s="29">
        <v>3906032</v>
      </c>
      <c r="D572" s="29" t="s">
        <v>159</v>
      </c>
      <c r="E572" s="133" t="s">
        <v>161</v>
      </c>
      <c r="F572" s="29" t="s">
        <v>692</v>
      </c>
      <c r="G572" s="29">
        <v>23650</v>
      </c>
      <c r="H572" s="29">
        <v>10357662</v>
      </c>
      <c r="I572" s="29" t="s">
        <v>692</v>
      </c>
      <c r="J572" s="64">
        <v>28290</v>
      </c>
      <c r="K572" s="64">
        <v>4344.55</v>
      </c>
      <c r="L572" s="64">
        <v>23945.45</v>
      </c>
      <c r="M572" s="64">
        <v>0</v>
      </c>
      <c r="N572" s="64">
        <v>0</v>
      </c>
      <c r="O572" s="65">
        <v>23945.45</v>
      </c>
      <c r="P572" s="84">
        <f t="shared" si="21"/>
        <v>0.84642806645457758</v>
      </c>
      <c r="Q572" s="73"/>
      <c r="R572" s="73"/>
    </row>
    <row r="573" spans="1:18" customFormat="1" x14ac:dyDescent="0.3">
      <c r="A573" s="15" t="s">
        <v>123</v>
      </c>
      <c r="B573" s="12" t="s">
        <v>5</v>
      </c>
      <c r="C573" s="29">
        <v>3906032</v>
      </c>
      <c r="D573" s="134" t="s">
        <v>159</v>
      </c>
      <c r="E573" s="133" t="s">
        <v>162</v>
      </c>
      <c r="F573" s="12" t="s">
        <v>692</v>
      </c>
      <c r="G573" s="12">
        <v>23650</v>
      </c>
      <c r="H573" s="12">
        <v>10358129</v>
      </c>
      <c r="I573" s="12" t="s">
        <v>692</v>
      </c>
      <c r="J573" s="64">
        <v>29520</v>
      </c>
      <c r="K573" s="64">
        <v>4533.4399999999996</v>
      </c>
      <c r="L573" s="64">
        <v>24986.560000000001</v>
      </c>
      <c r="M573" s="64">
        <v>0</v>
      </c>
      <c r="N573" s="64">
        <v>0</v>
      </c>
      <c r="O573" s="65">
        <v>24986.560000000001</v>
      </c>
      <c r="P573" s="84">
        <f t="shared" si="21"/>
        <v>0.84642818428184285</v>
      </c>
      <c r="Q573" s="73"/>
      <c r="R573" s="73"/>
    </row>
    <row r="574" spans="1:18" customFormat="1" x14ac:dyDescent="0.3">
      <c r="A574" s="11" t="s">
        <v>123</v>
      </c>
      <c r="B574" s="12" t="s">
        <v>474</v>
      </c>
      <c r="C574" s="12">
        <v>3922511</v>
      </c>
      <c r="D574" s="12" t="s">
        <v>590</v>
      </c>
      <c r="E574" s="116" t="s">
        <v>591</v>
      </c>
      <c r="F574" s="12" t="s">
        <v>692</v>
      </c>
      <c r="G574" s="12" t="s">
        <v>692</v>
      </c>
      <c r="H574" s="12" t="s">
        <v>692</v>
      </c>
      <c r="I574" s="12" t="s">
        <v>692</v>
      </c>
      <c r="J574" s="64">
        <v>42000</v>
      </c>
      <c r="K574" s="64">
        <v>6300</v>
      </c>
      <c r="L574" s="64">
        <v>35700</v>
      </c>
      <c r="M574" s="64">
        <v>0</v>
      </c>
      <c r="N574" s="64">
        <v>0</v>
      </c>
      <c r="O574" s="65">
        <v>35700</v>
      </c>
      <c r="P574" s="84">
        <f t="shared" si="21"/>
        <v>0.85</v>
      </c>
      <c r="Q574" s="73"/>
      <c r="R574" s="73"/>
    </row>
    <row r="575" spans="1:18" customFormat="1" x14ac:dyDescent="0.3">
      <c r="A575" s="11" t="s">
        <v>123</v>
      </c>
      <c r="B575" s="12" t="s">
        <v>474</v>
      </c>
      <c r="C575" s="12">
        <v>3922511</v>
      </c>
      <c r="D575" s="12" t="s">
        <v>590</v>
      </c>
      <c r="E575" s="116" t="s">
        <v>592</v>
      </c>
      <c r="F575" s="29" t="s">
        <v>692</v>
      </c>
      <c r="G575" s="29" t="s">
        <v>692</v>
      </c>
      <c r="H575" s="29" t="s">
        <v>692</v>
      </c>
      <c r="I575" s="29" t="s">
        <v>692</v>
      </c>
      <c r="J575" s="64">
        <v>46200</v>
      </c>
      <c r="K575" s="64">
        <v>6930</v>
      </c>
      <c r="L575" s="64">
        <v>39270</v>
      </c>
      <c r="M575" s="64">
        <v>0</v>
      </c>
      <c r="N575" s="64">
        <v>0</v>
      </c>
      <c r="O575" s="65">
        <v>39270</v>
      </c>
      <c r="P575" s="84">
        <f t="shared" si="21"/>
        <v>0.85</v>
      </c>
      <c r="Q575" s="73"/>
      <c r="R575" s="73"/>
    </row>
    <row r="576" spans="1:18" customFormat="1" x14ac:dyDescent="0.3">
      <c r="A576" s="15" t="s">
        <v>123</v>
      </c>
      <c r="B576" s="12" t="s">
        <v>5</v>
      </c>
      <c r="C576" s="29">
        <v>3892994</v>
      </c>
      <c r="D576" s="134" t="s">
        <v>163</v>
      </c>
      <c r="E576" s="133" t="s">
        <v>704</v>
      </c>
      <c r="F576" s="50" t="s">
        <v>692</v>
      </c>
      <c r="G576" s="50" t="s">
        <v>692</v>
      </c>
      <c r="H576" s="50" t="s">
        <v>692</v>
      </c>
      <c r="I576" s="50" t="s">
        <v>692</v>
      </c>
      <c r="J576" s="64">
        <v>90000.08</v>
      </c>
      <c r="K576" s="64">
        <v>0</v>
      </c>
      <c r="L576" s="64">
        <v>90000.08</v>
      </c>
      <c r="M576" s="64">
        <v>0</v>
      </c>
      <c r="N576" s="64">
        <v>13821.486495244855</v>
      </c>
      <c r="O576" s="65">
        <v>76178.593504755147</v>
      </c>
      <c r="P576" s="84">
        <f t="shared" si="21"/>
        <v>1</v>
      </c>
      <c r="Q576" s="73"/>
      <c r="R576" s="73"/>
    </row>
    <row r="577" spans="1:18" customFormat="1" x14ac:dyDescent="0.3">
      <c r="A577" s="50" t="s">
        <v>123</v>
      </c>
      <c r="B577" s="11" t="s">
        <v>164</v>
      </c>
      <c r="C577" s="50">
        <v>3933193</v>
      </c>
      <c r="D577" s="50" t="s">
        <v>399</v>
      </c>
      <c r="E577" s="122" t="s">
        <v>400</v>
      </c>
      <c r="F577" s="12" t="s">
        <v>692</v>
      </c>
      <c r="G577" s="12" t="s">
        <v>692</v>
      </c>
      <c r="H577" s="12" t="s">
        <v>692</v>
      </c>
      <c r="I577" s="12" t="s">
        <v>692</v>
      </c>
      <c r="J577" s="67">
        <v>43050</v>
      </c>
      <c r="K577" s="67">
        <v>6675.9</v>
      </c>
      <c r="L577" s="67">
        <v>36374.1</v>
      </c>
      <c r="M577" s="67">
        <v>0</v>
      </c>
      <c r="N577" s="67">
        <v>0</v>
      </c>
      <c r="O577" s="65">
        <v>36374.1</v>
      </c>
      <c r="P577" s="84">
        <f t="shared" si="21"/>
        <v>0.84492682926829266</v>
      </c>
      <c r="Q577" s="73"/>
      <c r="R577" s="73"/>
    </row>
    <row r="578" spans="1:18" customFormat="1" x14ac:dyDescent="0.3">
      <c r="A578" s="50" t="s">
        <v>123</v>
      </c>
      <c r="B578" s="11" t="s">
        <v>164</v>
      </c>
      <c r="C578" s="50">
        <v>3933193</v>
      </c>
      <c r="D578" s="50" t="s">
        <v>399</v>
      </c>
      <c r="E578" s="116" t="s">
        <v>680</v>
      </c>
      <c r="F578" s="50" t="s">
        <v>692</v>
      </c>
      <c r="G578" s="50" t="s">
        <v>692</v>
      </c>
      <c r="H578" s="50" t="s">
        <v>692</v>
      </c>
      <c r="I578" s="50" t="s">
        <v>692</v>
      </c>
      <c r="J578" s="67">
        <v>18450</v>
      </c>
      <c r="K578" s="67">
        <v>2861.1</v>
      </c>
      <c r="L578" s="67">
        <v>15588.9</v>
      </c>
      <c r="M578" s="67">
        <v>0</v>
      </c>
      <c r="N578" s="67">
        <v>0</v>
      </c>
      <c r="O578" s="65">
        <v>15588.9</v>
      </c>
      <c r="P578" s="84">
        <f t="shared" si="21"/>
        <v>0.84492682926829266</v>
      </c>
      <c r="Q578" s="73"/>
      <c r="R578" s="73"/>
    </row>
    <row r="579" spans="1:18" customFormat="1" x14ac:dyDescent="0.3">
      <c r="A579" s="50" t="s">
        <v>123</v>
      </c>
      <c r="B579" s="11" t="s">
        <v>164</v>
      </c>
      <c r="C579" s="50">
        <v>3949545</v>
      </c>
      <c r="D579" s="50" t="s">
        <v>401</v>
      </c>
      <c r="E579" s="122" t="s">
        <v>402</v>
      </c>
      <c r="F579" s="50" t="s">
        <v>692</v>
      </c>
      <c r="G579" s="50" t="s">
        <v>692</v>
      </c>
      <c r="H579" s="50" t="s">
        <v>692</v>
      </c>
      <c r="I579" s="50" t="s">
        <v>692</v>
      </c>
      <c r="J579" s="67">
        <v>93603</v>
      </c>
      <c r="K579" s="67">
        <v>0</v>
      </c>
      <c r="L579" s="67">
        <v>93603</v>
      </c>
      <c r="M579" s="67">
        <v>0</v>
      </c>
      <c r="N579" s="67">
        <v>14515.305543089955</v>
      </c>
      <c r="O579" s="65">
        <v>79087.694456910045</v>
      </c>
      <c r="P579" s="84">
        <f t="shared" si="21"/>
        <v>1</v>
      </c>
      <c r="Q579" s="73"/>
      <c r="R579" s="73"/>
    </row>
    <row r="580" spans="1:18" customFormat="1" x14ac:dyDescent="0.3">
      <c r="A580" s="50" t="s">
        <v>123</v>
      </c>
      <c r="B580" s="11" t="s">
        <v>164</v>
      </c>
      <c r="C580" s="50">
        <v>3928522</v>
      </c>
      <c r="D580" s="50" t="s">
        <v>403</v>
      </c>
      <c r="E580" s="122" t="s">
        <v>404</v>
      </c>
      <c r="F580" s="50" t="s">
        <v>692</v>
      </c>
      <c r="G580" s="50" t="s">
        <v>692</v>
      </c>
      <c r="H580" s="50" t="s">
        <v>692</v>
      </c>
      <c r="I580" s="50" t="s">
        <v>692</v>
      </c>
      <c r="J580" s="67">
        <v>98400</v>
      </c>
      <c r="K580" s="67">
        <v>0</v>
      </c>
      <c r="L580" s="67">
        <v>98400</v>
      </c>
      <c r="M580" s="67">
        <v>0</v>
      </c>
      <c r="N580" s="67">
        <v>15259.191109687206</v>
      </c>
      <c r="O580" s="65">
        <v>83140.808890312794</v>
      </c>
      <c r="P580" s="84">
        <f t="shared" si="21"/>
        <v>1</v>
      </c>
      <c r="Q580" s="73"/>
      <c r="R580" s="73"/>
    </row>
    <row r="581" spans="1:18" customFormat="1" x14ac:dyDescent="0.3">
      <c r="A581" s="50" t="s">
        <v>123</v>
      </c>
      <c r="B581" s="11" t="s">
        <v>164</v>
      </c>
      <c r="C581" s="50">
        <v>3928522</v>
      </c>
      <c r="D581" s="50" t="s">
        <v>403</v>
      </c>
      <c r="E581" s="122" t="s">
        <v>405</v>
      </c>
      <c r="F581" s="50" t="s">
        <v>692</v>
      </c>
      <c r="G581" s="50" t="s">
        <v>692</v>
      </c>
      <c r="H581" s="50" t="s">
        <v>692</v>
      </c>
      <c r="I581" s="50" t="s">
        <v>692</v>
      </c>
      <c r="J581" s="67">
        <v>48888</v>
      </c>
      <c r="K581" s="67">
        <v>7581.21</v>
      </c>
      <c r="L581" s="67">
        <v>41306.79</v>
      </c>
      <c r="M581" s="67">
        <v>0</v>
      </c>
      <c r="N581" s="67">
        <v>0</v>
      </c>
      <c r="O581" s="65">
        <v>41306.79</v>
      </c>
      <c r="P581" s="84">
        <f t="shared" si="21"/>
        <v>0.8449269759450172</v>
      </c>
      <c r="Q581" s="73"/>
      <c r="R581" s="73"/>
    </row>
    <row r="582" spans="1:18" customFormat="1" x14ac:dyDescent="0.3">
      <c r="A582" s="50" t="s">
        <v>123</v>
      </c>
      <c r="B582" s="11" t="s">
        <v>164</v>
      </c>
      <c r="C582" s="50">
        <v>3928522</v>
      </c>
      <c r="D582" s="50" t="s">
        <v>403</v>
      </c>
      <c r="E582" s="122" t="s">
        <v>406</v>
      </c>
      <c r="F582" s="50" t="s">
        <v>692</v>
      </c>
      <c r="G582" s="50" t="s">
        <v>692</v>
      </c>
      <c r="H582" s="50" t="s">
        <v>692</v>
      </c>
      <c r="I582" s="50" t="s">
        <v>692</v>
      </c>
      <c r="J582" s="67">
        <v>63960</v>
      </c>
      <c r="K582" s="67">
        <v>9918.4699999999993</v>
      </c>
      <c r="L582" s="67">
        <v>54041.53</v>
      </c>
      <c r="M582" s="67">
        <v>0</v>
      </c>
      <c r="N582" s="67">
        <v>0</v>
      </c>
      <c r="O582" s="65">
        <v>54041.53</v>
      </c>
      <c r="P582" s="84">
        <f t="shared" si="21"/>
        <v>0.84492698561600998</v>
      </c>
      <c r="Q582" s="73"/>
      <c r="R582" s="73"/>
    </row>
    <row r="583" spans="1:18" customFormat="1" x14ac:dyDescent="0.3">
      <c r="A583" s="50" t="s">
        <v>123</v>
      </c>
      <c r="B583" s="11" t="s">
        <v>164</v>
      </c>
      <c r="C583" s="50">
        <v>3928522</v>
      </c>
      <c r="D583" s="50" t="s">
        <v>403</v>
      </c>
      <c r="E583" s="122" t="s">
        <v>407</v>
      </c>
      <c r="F583" s="50" t="s">
        <v>692</v>
      </c>
      <c r="G583" s="50" t="s">
        <v>692</v>
      </c>
      <c r="H583" s="50" t="s">
        <v>692</v>
      </c>
      <c r="I583" s="50" t="s">
        <v>692</v>
      </c>
      <c r="J583" s="67">
        <v>77490</v>
      </c>
      <c r="K583" s="67">
        <v>0</v>
      </c>
      <c r="L583" s="67">
        <v>77490</v>
      </c>
      <c r="M583" s="67">
        <v>0</v>
      </c>
      <c r="N583" s="67">
        <v>12016.612998878671</v>
      </c>
      <c r="O583" s="65">
        <v>65473.387001121329</v>
      </c>
      <c r="P583" s="84">
        <f t="shared" si="21"/>
        <v>1</v>
      </c>
      <c r="Q583" s="73"/>
      <c r="R583" s="73"/>
    </row>
    <row r="584" spans="1:18" customFormat="1" ht="39.4" customHeight="1" x14ac:dyDescent="0.3">
      <c r="A584" s="50" t="s">
        <v>123</v>
      </c>
      <c r="B584" s="11" t="s">
        <v>164</v>
      </c>
      <c r="C584" s="50">
        <v>3964991</v>
      </c>
      <c r="D584" s="50" t="s">
        <v>408</v>
      </c>
      <c r="E584" s="122" t="s">
        <v>409</v>
      </c>
      <c r="F584" s="50" t="s">
        <v>692</v>
      </c>
      <c r="G584" s="50" t="s">
        <v>692</v>
      </c>
      <c r="H584" s="50" t="s">
        <v>692</v>
      </c>
      <c r="I584" s="50" t="s">
        <v>692</v>
      </c>
      <c r="J584" s="67">
        <v>0</v>
      </c>
      <c r="K584" s="67">
        <v>0</v>
      </c>
      <c r="L584" s="67">
        <v>0</v>
      </c>
      <c r="M584" s="124">
        <v>0</v>
      </c>
      <c r="N584" s="124">
        <v>0</v>
      </c>
      <c r="O584" s="124">
        <v>0</v>
      </c>
      <c r="P584" s="84">
        <v>0</v>
      </c>
      <c r="Q584" s="73"/>
      <c r="R584" s="73"/>
    </row>
    <row r="585" spans="1:18" customFormat="1" x14ac:dyDescent="0.3">
      <c r="A585" s="50" t="s">
        <v>123</v>
      </c>
      <c r="B585" s="11" t="s">
        <v>164</v>
      </c>
      <c r="C585" s="50">
        <v>3971475</v>
      </c>
      <c r="D585" s="50" t="s">
        <v>410</v>
      </c>
      <c r="E585" s="122" t="s">
        <v>411</v>
      </c>
      <c r="F585" s="50" t="s">
        <v>692</v>
      </c>
      <c r="G585" s="50" t="s">
        <v>692</v>
      </c>
      <c r="H585" s="50" t="s">
        <v>692</v>
      </c>
      <c r="I585" s="50" t="s">
        <v>692</v>
      </c>
      <c r="J585" s="67">
        <v>89175</v>
      </c>
      <c r="K585" s="67">
        <v>0</v>
      </c>
      <c r="L585" s="67">
        <v>89175</v>
      </c>
      <c r="M585" s="67">
        <v>0</v>
      </c>
      <c r="N585" s="67">
        <v>89175</v>
      </c>
      <c r="O585" s="65">
        <v>0</v>
      </c>
      <c r="P585" s="84">
        <f t="shared" ref="P585:P599" si="22">L585/J585</f>
        <v>1</v>
      </c>
      <c r="Q585" s="73"/>
      <c r="R585" s="73"/>
    </row>
    <row r="586" spans="1:18" customFormat="1" x14ac:dyDescent="0.3">
      <c r="A586" s="50" t="s">
        <v>123</v>
      </c>
      <c r="B586" s="11" t="s">
        <v>164</v>
      </c>
      <c r="C586" s="50">
        <v>3971475</v>
      </c>
      <c r="D586" s="50" t="s">
        <v>410</v>
      </c>
      <c r="E586" s="122" t="s">
        <v>412</v>
      </c>
      <c r="F586" s="50" t="s">
        <v>692</v>
      </c>
      <c r="G586" s="50" t="s">
        <v>692</v>
      </c>
      <c r="H586" s="50" t="s">
        <v>692</v>
      </c>
      <c r="I586" s="50" t="s">
        <v>692</v>
      </c>
      <c r="J586" s="67">
        <v>48831</v>
      </c>
      <c r="K586" s="67">
        <v>0</v>
      </c>
      <c r="L586" s="67">
        <v>48831</v>
      </c>
      <c r="M586" s="67">
        <v>0</v>
      </c>
      <c r="N586" s="67">
        <v>48831</v>
      </c>
      <c r="O586" s="65">
        <v>0</v>
      </c>
      <c r="P586" s="84">
        <f t="shared" si="22"/>
        <v>1</v>
      </c>
      <c r="Q586" s="73"/>
      <c r="R586" s="73"/>
    </row>
    <row r="587" spans="1:18" customFormat="1" x14ac:dyDescent="0.3">
      <c r="A587" s="50" t="s">
        <v>123</v>
      </c>
      <c r="B587" s="11" t="s">
        <v>164</v>
      </c>
      <c r="C587" s="50">
        <v>3971475</v>
      </c>
      <c r="D587" s="50" t="s">
        <v>410</v>
      </c>
      <c r="E587" s="122" t="s">
        <v>413</v>
      </c>
      <c r="F587" s="12" t="s">
        <v>692</v>
      </c>
      <c r="G587" s="12" t="s">
        <v>692</v>
      </c>
      <c r="H587" s="12" t="s">
        <v>692</v>
      </c>
      <c r="I587" s="12" t="s">
        <v>692</v>
      </c>
      <c r="J587" s="67">
        <v>60024</v>
      </c>
      <c r="K587" s="67">
        <v>0</v>
      </c>
      <c r="L587" s="67">
        <v>60024</v>
      </c>
      <c r="M587" s="67">
        <v>0</v>
      </c>
      <c r="N587" s="67">
        <v>60024</v>
      </c>
      <c r="O587" s="65">
        <v>0</v>
      </c>
      <c r="P587" s="84">
        <f t="shared" si="22"/>
        <v>1</v>
      </c>
      <c r="Q587" s="73"/>
      <c r="R587" s="73"/>
    </row>
    <row r="588" spans="1:18" customFormat="1" x14ac:dyDescent="0.3">
      <c r="A588" s="11" t="s">
        <v>123</v>
      </c>
      <c r="B588" s="12" t="s">
        <v>474</v>
      </c>
      <c r="C588" s="12">
        <v>3877756</v>
      </c>
      <c r="D588" s="12" t="s">
        <v>593</v>
      </c>
      <c r="E588" s="116" t="s">
        <v>594</v>
      </c>
      <c r="F588" s="12" t="s">
        <v>692</v>
      </c>
      <c r="G588" s="12" t="s">
        <v>692</v>
      </c>
      <c r="H588" s="12" t="s">
        <v>692</v>
      </c>
      <c r="I588" s="12" t="s">
        <v>692</v>
      </c>
      <c r="J588" s="64">
        <v>162089.4</v>
      </c>
      <c r="K588" s="64">
        <v>24313.410000000003</v>
      </c>
      <c r="L588" s="64">
        <v>137775.99</v>
      </c>
      <c r="M588" s="64">
        <v>0</v>
      </c>
      <c r="N588" s="64">
        <v>0</v>
      </c>
      <c r="O588" s="65">
        <v>137775.99</v>
      </c>
      <c r="P588" s="84">
        <f t="shared" si="22"/>
        <v>0.85</v>
      </c>
      <c r="Q588" s="73"/>
      <c r="R588" s="73"/>
    </row>
    <row r="589" spans="1:18" customFormat="1" x14ac:dyDescent="0.3">
      <c r="A589" s="11" t="s">
        <v>123</v>
      </c>
      <c r="B589" s="12" t="s">
        <v>474</v>
      </c>
      <c r="C589" s="12">
        <v>3877756</v>
      </c>
      <c r="D589" s="12" t="s">
        <v>593</v>
      </c>
      <c r="E589" s="116" t="s">
        <v>595</v>
      </c>
      <c r="F589" s="12" t="s">
        <v>692</v>
      </c>
      <c r="G589" s="12" t="s">
        <v>692</v>
      </c>
      <c r="H589" s="12" t="s">
        <v>692</v>
      </c>
      <c r="I589" s="12" t="s">
        <v>692</v>
      </c>
      <c r="J589" s="64">
        <v>52890</v>
      </c>
      <c r="K589" s="64">
        <v>7933.5</v>
      </c>
      <c r="L589" s="64">
        <v>44956.5</v>
      </c>
      <c r="M589" s="64">
        <v>0</v>
      </c>
      <c r="N589" s="64">
        <v>0</v>
      </c>
      <c r="O589" s="65">
        <v>44956.5</v>
      </c>
      <c r="P589" s="84">
        <f t="shared" si="22"/>
        <v>0.85</v>
      </c>
      <c r="Q589" s="73"/>
      <c r="R589" s="73"/>
    </row>
    <row r="590" spans="1:18" customFormat="1" x14ac:dyDescent="0.3">
      <c r="A590" s="11" t="s">
        <v>123</v>
      </c>
      <c r="B590" s="12" t="s">
        <v>474</v>
      </c>
      <c r="C590" s="12">
        <v>3975817</v>
      </c>
      <c r="D590" s="12" t="s">
        <v>596</v>
      </c>
      <c r="E590" s="116" t="s">
        <v>597</v>
      </c>
      <c r="F590" s="12" t="s">
        <v>692</v>
      </c>
      <c r="G590" s="12" t="s">
        <v>692</v>
      </c>
      <c r="H590" s="12" t="s">
        <v>692</v>
      </c>
      <c r="I590" s="12" t="s">
        <v>692</v>
      </c>
      <c r="J590" s="64">
        <v>0</v>
      </c>
      <c r="K590" s="64">
        <f>J590-L590</f>
        <v>0</v>
      </c>
      <c r="L590" s="64">
        <v>0</v>
      </c>
      <c r="M590" s="64">
        <v>0</v>
      </c>
      <c r="N590" s="64">
        <f>L590-M590</f>
        <v>0</v>
      </c>
      <c r="O590" s="65">
        <v>0</v>
      </c>
      <c r="P590" s="84" t="e">
        <f t="shared" si="22"/>
        <v>#DIV/0!</v>
      </c>
      <c r="Q590" s="73"/>
      <c r="R590" s="73"/>
    </row>
    <row r="591" spans="1:18" customFormat="1" x14ac:dyDescent="0.3">
      <c r="A591" s="11" t="s">
        <v>123</v>
      </c>
      <c r="B591" s="12" t="s">
        <v>474</v>
      </c>
      <c r="C591" s="12">
        <v>3975817</v>
      </c>
      <c r="D591" s="12" t="s">
        <v>596</v>
      </c>
      <c r="E591" s="116" t="s">
        <v>594</v>
      </c>
      <c r="F591" s="12" t="s">
        <v>692</v>
      </c>
      <c r="G591" s="12" t="s">
        <v>692</v>
      </c>
      <c r="H591" s="12" t="s">
        <v>692</v>
      </c>
      <c r="I591" s="12" t="s">
        <v>692</v>
      </c>
      <c r="J591" s="64">
        <f>36531-506.1</f>
        <v>36024.9</v>
      </c>
      <c r="K591" s="64">
        <f>J591-L591</f>
        <v>5403.7900000000045</v>
      </c>
      <c r="L591" s="64">
        <f>31051.35-430.24</f>
        <v>30621.109999999997</v>
      </c>
      <c r="M591" s="64">
        <f>31051.35-430.24</f>
        <v>30621.109999999997</v>
      </c>
      <c r="N591" s="64">
        <f>L591-M591</f>
        <v>0</v>
      </c>
      <c r="O591" s="65">
        <v>0</v>
      </c>
      <c r="P591" s="84">
        <f t="shared" si="22"/>
        <v>0.84999847327820466</v>
      </c>
      <c r="Q591" s="73"/>
      <c r="R591" s="73"/>
    </row>
    <row r="592" spans="1:18" customFormat="1" x14ac:dyDescent="0.3">
      <c r="A592" s="11" t="s">
        <v>123</v>
      </c>
      <c r="B592" s="12" t="s">
        <v>474</v>
      </c>
      <c r="C592" s="12">
        <v>3975817</v>
      </c>
      <c r="D592" s="12" t="s">
        <v>596</v>
      </c>
      <c r="E592" s="116" t="s">
        <v>595</v>
      </c>
      <c r="F592" s="12" t="s">
        <v>692</v>
      </c>
      <c r="G592" s="12" t="s">
        <v>692</v>
      </c>
      <c r="H592" s="12" t="s">
        <v>692</v>
      </c>
      <c r="I592" s="12" t="s">
        <v>692</v>
      </c>
      <c r="J592" s="64">
        <f>171191.4-27189.61</f>
        <v>144001.78999999998</v>
      </c>
      <c r="K592" s="64">
        <f>J592-L592</f>
        <v>21600.329999999973</v>
      </c>
      <c r="L592" s="64">
        <f>145512.69-23111.23</f>
        <v>122401.46</v>
      </c>
      <c r="M592" s="64">
        <f>145512.69-23111.23</f>
        <v>122401.46</v>
      </c>
      <c r="N592" s="64">
        <f>L592-M592</f>
        <v>0</v>
      </c>
      <c r="O592" s="65">
        <v>0</v>
      </c>
      <c r="P592" s="84">
        <f t="shared" si="22"/>
        <v>0.8499995729219757</v>
      </c>
      <c r="Q592" s="73"/>
      <c r="R592" s="73"/>
    </row>
    <row r="593" spans="1:18" customFormat="1" ht="29.55" x14ac:dyDescent="0.3">
      <c r="A593" s="11" t="s">
        <v>123</v>
      </c>
      <c r="B593" s="12" t="s">
        <v>474</v>
      </c>
      <c r="C593" s="12">
        <v>3982825</v>
      </c>
      <c r="D593" s="12" t="s">
        <v>598</v>
      </c>
      <c r="E593" s="116" t="s">
        <v>599</v>
      </c>
      <c r="F593" s="12" t="s">
        <v>692</v>
      </c>
      <c r="G593" s="12" t="s">
        <v>692</v>
      </c>
      <c r="H593" s="12" t="s">
        <v>692</v>
      </c>
      <c r="I593" s="12" t="s">
        <v>692</v>
      </c>
      <c r="J593" s="64">
        <v>105780</v>
      </c>
      <c r="K593" s="64">
        <v>15867</v>
      </c>
      <c r="L593" s="64">
        <v>89913</v>
      </c>
      <c r="M593" s="64">
        <v>17949.100000000006</v>
      </c>
      <c r="N593" s="64">
        <v>0</v>
      </c>
      <c r="O593" s="65">
        <v>71963.899999999994</v>
      </c>
      <c r="P593" s="84">
        <f t="shared" si="22"/>
        <v>0.85</v>
      </c>
      <c r="Q593" s="73"/>
      <c r="R593" s="73"/>
    </row>
    <row r="594" spans="1:18" customFormat="1" ht="29.55" x14ac:dyDescent="0.3">
      <c r="A594" s="11" t="s">
        <v>123</v>
      </c>
      <c r="B594" s="12" t="s">
        <v>474</v>
      </c>
      <c r="C594" s="12">
        <v>3983390</v>
      </c>
      <c r="D594" s="12" t="s">
        <v>600</v>
      </c>
      <c r="E594" s="116" t="s">
        <v>599</v>
      </c>
      <c r="F594" s="12" t="s">
        <v>692</v>
      </c>
      <c r="G594" s="12" t="s">
        <v>692</v>
      </c>
      <c r="H594" s="12" t="s">
        <v>692</v>
      </c>
      <c r="I594" s="12" t="s">
        <v>692</v>
      </c>
      <c r="J594" s="64">
        <f>143295-6169.68</f>
        <v>137125.32</v>
      </c>
      <c r="K594" s="64">
        <f>J594-L594</f>
        <v>20568.800000000003</v>
      </c>
      <c r="L594" s="64">
        <f>121800.75-5244.23</f>
        <v>116556.52</v>
      </c>
      <c r="M594" s="64">
        <f>L594</f>
        <v>116556.52</v>
      </c>
      <c r="N594" s="64">
        <f>L594-M594</f>
        <v>0</v>
      </c>
      <c r="O594" s="65">
        <v>0</v>
      </c>
      <c r="P594" s="84">
        <f t="shared" si="22"/>
        <v>0.8499999854148016</v>
      </c>
      <c r="Q594" s="73"/>
      <c r="R594" s="73"/>
    </row>
    <row r="595" spans="1:18" customFormat="1" x14ac:dyDescent="0.3">
      <c r="A595" s="11" t="s">
        <v>662</v>
      </c>
      <c r="B595" s="12" t="s">
        <v>474</v>
      </c>
      <c r="C595" s="12" t="s">
        <v>663</v>
      </c>
      <c r="D595" s="12" t="s">
        <v>661</v>
      </c>
      <c r="E595" s="116" t="s">
        <v>664</v>
      </c>
      <c r="F595" s="12" t="s">
        <v>692</v>
      </c>
      <c r="G595" s="12" t="s">
        <v>692</v>
      </c>
      <c r="H595" s="12" t="s">
        <v>692</v>
      </c>
      <c r="I595" s="12" t="s">
        <v>692</v>
      </c>
      <c r="J595" s="73">
        <v>54068.47</v>
      </c>
      <c r="K595" s="73">
        <v>8110.27</v>
      </c>
      <c r="L595" s="73">
        <v>45958.2</v>
      </c>
      <c r="M595" s="73">
        <v>45958.2</v>
      </c>
      <c r="N595" s="73">
        <v>0</v>
      </c>
      <c r="O595" s="65">
        <v>0</v>
      </c>
      <c r="P595" s="84">
        <f t="shared" si="22"/>
        <v>0.85000000924753361</v>
      </c>
      <c r="Q595" s="73"/>
      <c r="R595" s="73"/>
    </row>
    <row r="596" spans="1:18" customFormat="1" x14ac:dyDescent="0.3">
      <c r="A596" s="11" t="s">
        <v>662</v>
      </c>
      <c r="B596" s="12" t="s">
        <v>474</v>
      </c>
      <c r="C596" s="12" t="s">
        <v>663</v>
      </c>
      <c r="D596" s="12" t="s">
        <v>661</v>
      </c>
      <c r="E596" s="116" t="s">
        <v>665</v>
      </c>
      <c r="F596" s="12" t="s">
        <v>692</v>
      </c>
      <c r="G596" s="12" t="s">
        <v>692</v>
      </c>
      <c r="H596" s="12" t="s">
        <v>692</v>
      </c>
      <c r="I596" s="12" t="s">
        <v>692</v>
      </c>
      <c r="J596" s="73">
        <v>9157.35</v>
      </c>
      <c r="K596" s="73">
        <v>1373.6</v>
      </c>
      <c r="L596" s="73">
        <v>7783.75</v>
      </c>
      <c r="M596" s="73">
        <v>7783.75</v>
      </c>
      <c r="N596" s="73">
        <v>0</v>
      </c>
      <c r="O596" s="65">
        <v>0</v>
      </c>
      <c r="P596" s="84">
        <f t="shared" si="22"/>
        <v>0.85000027300474479</v>
      </c>
      <c r="Q596" s="73"/>
      <c r="R596" s="73"/>
    </row>
    <row r="597" spans="1:18" customFormat="1" x14ac:dyDescent="0.3">
      <c r="A597" s="11" t="s">
        <v>662</v>
      </c>
      <c r="B597" s="12" t="s">
        <v>5</v>
      </c>
      <c r="C597" s="12">
        <v>4583636</v>
      </c>
      <c r="D597" s="29" t="s">
        <v>666</v>
      </c>
      <c r="E597" s="116" t="s">
        <v>704</v>
      </c>
      <c r="F597" s="12" t="s">
        <v>692</v>
      </c>
      <c r="G597" s="12" t="s">
        <v>692</v>
      </c>
      <c r="H597" s="12" t="s">
        <v>692</v>
      </c>
      <c r="I597" s="12" t="s">
        <v>692</v>
      </c>
      <c r="J597" s="73">
        <v>119310</v>
      </c>
      <c r="K597" s="73">
        <v>0</v>
      </c>
      <c r="L597" s="73">
        <v>119310</v>
      </c>
      <c r="M597" s="73">
        <v>28819.95</v>
      </c>
      <c r="N597" s="73">
        <v>90490.05</v>
      </c>
      <c r="O597" s="65">
        <v>0</v>
      </c>
      <c r="P597" s="84">
        <f t="shared" si="22"/>
        <v>1</v>
      </c>
      <c r="Q597" s="73"/>
      <c r="R597" s="73"/>
    </row>
    <row r="598" spans="1:18" customFormat="1" x14ac:dyDescent="0.3">
      <c r="A598" s="11" t="s">
        <v>662</v>
      </c>
      <c r="B598" s="11" t="s">
        <v>5</v>
      </c>
      <c r="C598" s="12">
        <v>4598703</v>
      </c>
      <c r="D598" s="12" t="s">
        <v>705</v>
      </c>
      <c r="E598" s="116" t="s">
        <v>126</v>
      </c>
      <c r="F598" s="12" t="s">
        <v>692</v>
      </c>
      <c r="G598" s="12" t="s">
        <v>692</v>
      </c>
      <c r="H598" s="12" t="s">
        <v>692</v>
      </c>
      <c r="I598" s="12" t="s">
        <v>692</v>
      </c>
      <c r="J598" s="64">
        <v>78120</v>
      </c>
      <c r="K598" s="64">
        <v>0</v>
      </c>
      <c r="L598" s="64">
        <f>J598</f>
        <v>78120</v>
      </c>
      <c r="M598" s="64">
        <v>66122.960000000006</v>
      </c>
      <c r="N598" s="64">
        <v>0</v>
      </c>
      <c r="O598" s="65">
        <v>11997.04</v>
      </c>
      <c r="P598" s="84">
        <f t="shared" si="22"/>
        <v>1</v>
      </c>
      <c r="Q598" s="73"/>
      <c r="R598" s="73"/>
    </row>
    <row r="599" spans="1:18" customFormat="1" x14ac:dyDescent="0.3">
      <c r="A599" s="11" t="s">
        <v>662</v>
      </c>
      <c r="B599" s="11" t="s">
        <v>5</v>
      </c>
      <c r="C599" s="12">
        <v>4598703</v>
      </c>
      <c r="D599" s="12" t="s">
        <v>705</v>
      </c>
      <c r="E599" s="116" t="s">
        <v>127</v>
      </c>
      <c r="F599" s="12" t="s">
        <v>692</v>
      </c>
      <c r="G599" s="12" t="s">
        <v>692</v>
      </c>
      <c r="H599" s="12" t="s">
        <v>692</v>
      </c>
      <c r="I599" s="12" t="s">
        <v>692</v>
      </c>
      <c r="J599" s="64">
        <v>26880</v>
      </c>
      <c r="K599" s="64">
        <v>0</v>
      </c>
      <c r="L599" s="64">
        <f>J599</f>
        <v>26880</v>
      </c>
      <c r="M599" s="64">
        <v>22751.99</v>
      </c>
      <c r="N599" s="64">
        <v>0</v>
      </c>
      <c r="O599" s="65">
        <v>4128.01</v>
      </c>
      <c r="P599" s="84">
        <f t="shared" si="22"/>
        <v>1</v>
      </c>
      <c r="Q599" s="73"/>
      <c r="R599" s="73"/>
    </row>
    <row r="600" spans="1:18" customFormat="1" x14ac:dyDescent="0.3">
      <c r="A600" s="11" t="s">
        <v>662</v>
      </c>
      <c r="B600" s="11" t="s">
        <v>164</v>
      </c>
      <c r="C600" s="12">
        <v>4599424</v>
      </c>
      <c r="D600" s="12" t="s">
        <v>706</v>
      </c>
      <c r="E600" s="116" t="s">
        <v>719</v>
      </c>
      <c r="F600" s="12" t="s">
        <v>692</v>
      </c>
      <c r="G600" s="12" t="s">
        <v>692</v>
      </c>
      <c r="H600" s="12" t="s">
        <v>692</v>
      </c>
      <c r="I600" s="12" t="s">
        <v>692</v>
      </c>
      <c r="J600" s="64">
        <v>0</v>
      </c>
      <c r="K600" s="64">
        <v>0</v>
      </c>
      <c r="L600" s="64">
        <v>0</v>
      </c>
      <c r="M600" s="125">
        <v>0</v>
      </c>
      <c r="N600" s="125">
        <v>0</v>
      </c>
      <c r="O600" s="65">
        <v>0</v>
      </c>
      <c r="P600" s="84">
        <v>0</v>
      </c>
      <c r="Q600" s="73"/>
      <c r="R600" s="73"/>
    </row>
    <row r="601" spans="1:18" customFormat="1" x14ac:dyDescent="0.3">
      <c r="A601" s="11" t="s">
        <v>662</v>
      </c>
      <c r="B601" s="11" t="s">
        <v>164</v>
      </c>
      <c r="C601" s="12">
        <v>4599424</v>
      </c>
      <c r="D601" s="12" t="s">
        <v>706</v>
      </c>
      <c r="E601" s="116" t="s">
        <v>357</v>
      </c>
      <c r="F601" s="12" t="s">
        <v>692</v>
      </c>
      <c r="G601" s="12" t="s">
        <v>692</v>
      </c>
      <c r="H601" s="12" t="s">
        <v>692</v>
      </c>
      <c r="I601" s="12" t="s">
        <v>692</v>
      </c>
      <c r="J601" s="64">
        <v>12915</v>
      </c>
      <c r="K601" s="64">
        <v>2002.77</v>
      </c>
      <c r="L601" s="64">
        <v>10912.23</v>
      </c>
      <c r="M601" s="125">
        <v>10912.23</v>
      </c>
      <c r="N601" s="125">
        <v>0</v>
      </c>
      <c r="O601" s="65">
        <v>0</v>
      </c>
      <c r="P601" s="84">
        <f t="shared" ref="P601:P615" si="23">L601/J601</f>
        <v>0.84492682926829266</v>
      </c>
      <c r="Q601" s="73"/>
      <c r="R601" s="73"/>
    </row>
    <row r="602" spans="1:18" customFormat="1" x14ac:dyDescent="0.3">
      <c r="A602" s="11" t="s">
        <v>662</v>
      </c>
      <c r="B602" s="11" t="s">
        <v>164</v>
      </c>
      <c r="C602" s="12">
        <v>4599424</v>
      </c>
      <c r="D602" s="12" t="s">
        <v>706</v>
      </c>
      <c r="E602" s="116" t="s">
        <v>127</v>
      </c>
      <c r="F602" s="12" t="s">
        <v>692</v>
      </c>
      <c r="G602" s="12" t="s">
        <v>692</v>
      </c>
      <c r="H602" s="12" t="s">
        <v>692</v>
      </c>
      <c r="I602" s="12" t="s">
        <v>692</v>
      </c>
      <c r="J602" s="64">
        <v>15456</v>
      </c>
      <c r="K602" s="64">
        <v>0</v>
      </c>
      <c r="L602" s="64">
        <f>J602</f>
        <v>15456</v>
      </c>
      <c r="M602" s="125">
        <v>13059.19</v>
      </c>
      <c r="N602" s="125">
        <v>0</v>
      </c>
      <c r="O602" s="65">
        <v>2396.81</v>
      </c>
      <c r="P602" s="84">
        <f t="shared" si="23"/>
        <v>1</v>
      </c>
      <c r="Q602" s="73"/>
      <c r="R602" s="73"/>
    </row>
    <row r="603" spans="1:18" customFormat="1" x14ac:dyDescent="0.3">
      <c r="A603" s="11" t="s">
        <v>662</v>
      </c>
      <c r="B603" s="11" t="s">
        <v>164</v>
      </c>
      <c r="C603" s="12">
        <v>4599424</v>
      </c>
      <c r="D603" s="12" t="s">
        <v>706</v>
      </c>
      <c r="E603" s="116" t="s">
        <v>674</v>
      </c>
      <c r="F603" s="12" t="s">
        <v>692</v>
      </c>
      <c r="G603" s="12" t="s">
        <v>692</v>
      </c>
      <c r="H603" s="12" t="s">
        <v>692</v>
      </c>
      <c r="I603" s="12" t="s">
        <v>692</v>
      </c>
      <c r="J603" s="64">
        <v>30750</v>
      </c>
      <c r="K603" s="64">
        <v>0</v>
      </c>
      <c r="L603" s="64">
        <f>J603</f>
        <v>30750</v>
      </c>
      <c r="M603" s="125">
        <v>25981.5</v>
      </c>
      <c r="N603" s="125">
        <v>0</v>
      </c>
      <c r="O603" s="65">
        <v>4768.5</v>
      </c>
      <c r="P603" s="84">
        <f t="shared" si="23"/>
        <v>1</v>
      </c>
      <c r="Q603" s="73"/>
      <c r="R603" s="73"/>
    </row>
    <row r="604" spans="1:18" customFormat="1" x14ac:dyDescent="0.3">
      <c r="A604" s="11" t="s">
        <v>662</v>
      </c>
      <c r="B604" s="11" t="s">
        <v>164</v>
      </c>
      <c r="C604" s="12">
        <v>4599424</v>
      </c>
      <c r="D604" s="12" t="s">
        <v>706</v>
      </c>
      <c r="E604" s="116" t="s">
        <v>126</v>
      </c>
      <c r="F604" s="12" t="s">
        <v>692</v>
      </c>
      <c r="G604" s="12" t="s">
        <v>692</v>
      </c>
      <c r="H604" s="12" t="s">
        <v>692</v>
      </c>
      <c r="I604" s="12" t="s">
        <v>692</v>
      </c>
      <c r="J604" s="64">
        <v>11200</v>
      </c>
      <c r="K604" s="64">
        <v>0</v>
      </c>
      <c r="L604" s="64">
        <f>J604</f>
        <v>11200</v>
      </c>
      <c r="M604" s="125">
        <v>9463.18</v>
      </c>
      <c r="N604" s="125">
        <v>0</v>
      </c>
      <c r="O604" s="65">
        <v>1736.82</v>
      </c>
      <c r="P604" s="84">
        <f t="shared" si="23"/>
        <v>1</v>
      </c>
      <c r="Q604" s="73"/>
      <c r="R604" s="73"/>
    </row>
    <row r="605" spans="1:18" customFormat="1" x14ac:dyDescent="0.3">
      <c r="A605" s="11" t="s">
        <v>662</v>
      </c>
      <c r="B605" s="11" t="s">
        <v>164</v>
      </c>
      <c r="C605" s="12">
        <v>4599424</v>
      </c>
      <c r="D605" s="12" t="s">
        <v>706</v>
      </c>
      <c r="E605" s="116" t="s">
        <v>168</v>
      </c>
      <c r="F605" s="12" t="s">
        <v>692</v>
      </c>
      <c r="G605" s="12" t="s">
        <v>692</v>
      </c>
      <c r="H605" s="12" t="s">
        <v>692</v>
      </c>
      <c r="I605" s="12" t="s">
        <v>692</v>
      </c>
      <c r="J605" s="64">
        <v>11200</v>
      </c>
      <c r="K605" s="64">
        <v>0</v>
      </c>
      <c r="L605" s="64">
        <f>J605</f>
        <v>11200</v>
      </c>
      <c r="M605" s="125">
        <v>9463.18</v>
      </c>
      <c r="N605" s="125">
        <v>0</v>
      </c>
      <c r="O605" s="65">
        <v>1736.82</v>
      </c>
      <c r="P605" s="84">
        <f t="shared" si="23"/>
        <v>1</v>
      </c>
      <c r="Q605" s="73"/>
      <c r="R605" s="73"/>
    </row>
    <row r="606" spans="1:18" customFormat="1" x14ac:dyDescent="0.3">
      <c r="A606" s="11" t="s">
        <v>662</v>
      </c>
      <c r="B606" s="11" t="s">
        <v>164</v>
      </c>
      <c r="C606" s="12">
        <v>4580009</v>
      </c>
      <c r="D606" s="12" t="s">
        <v>709</v>
      </c>
      <c r="E606" s="116" t="s">
        <v>710</v>
      </c>
      <c r="F606" s="12" t="s">
        <v>692</v>
      </c>
      <c r="G606" s="12" t="s">
        <v>692</v>
      </c>
      <c r="H606" s="12" t="s">
        <v>692</v>
      </c>
      <c r="I606" s="12" t="s">
        <v>692</v>
      </c>
      <c r="J606" s="64">
        <v>29766</v>
      </c>
      <c r="K606" s="64">
        <v>0</v>
      </c>
      <c r="L606" s="64">
        <f>J606</f>
        <v>29766</v>
      </c>
      <c r="M606" s="64">
        <v>25150.09</v>
      </c>
      <c r="N606" s="64">
        <v>0</v>
      </c>
      <c r="O606" s="65">
        <v>4615.91</v>
      </c>
      <c r="P606" s="84">
        <f t="shared" si="23"/>
        <v>1</v>
      </c>
      <c r="Q606" s="73"/>
      <c r="R606" s="73"/>
    </row>
    <row r="607" spans="1:18" customFormat="1" ht="29.55" x14ac:dyDescent="0.3">
      <c r="A607" s="11" t="s">
        <v>662</v>
      </c>
      <c r="B607" s="11" t="s">
        <v>164</v>
      </c>
      <c r="C607" s="12">
        <v>4580009</v>
      </c>
      <c r="D607" s="12" t="s">
        <v>709</v>
      </c>
      <c r="E607" s="116" t="s">
        <v>711</v>
      </c>
      <c r="F607" s="12" t="s">
        <v>692</v>
      </c>
      <c r="G607" s="12" t="s">
        <v>692</v>
      </c>
      <c r="H607" s="12" t="s">
        <v>692</v>
      </c>
      <c r="I607" s="12" t="s">
        <v>692</v>
      </c>
      <c r="J607" s="64">
        <v>9840</v>
      </c>
      <c r="K607" s="64">
        <v>1525.92</v>
      </c>
      <c r="L607" s="64">
        <v>8314.08</v>
      </c>
      <c r="M607" s="64">
        <v>8314.08</v>
      </c>
      <c r="N607" s="64">
        <v>0</v>
      </c>
      <c r="O607" s="65">
        <v>0</v>
      </c>
      <c r="P607" s="84">
        <f t="shared" si="23"/>
        <v>0.84492682926829266</v>
      </c>
      <c r="Q607" s="73"/>
      <c r="R607" s="73"/>
    </row>
    <row r="608" spans="1:18" customFormat="1" ht="29.55" x14ac:dyDescent="0.3">
      <c r="A608" s="11" t="s">
        <v>662</v>
      </c>
      <c r="B608" s="11" t="s">
        <v>164</v>
      </c>
      <c r="C608" s="12">
        <v>4580009</v>
      </c>
      <c r="D608" s="12" t="s">
        <v>709</v>
      </c>
      <c r="E608" s="116" t="s">
        <v>712</v>
      </c>
      <c r="F608" s="12" t="s">
        <v>692</v>
      </c>
      <c r="G608" s="12" t="s">
        <v>692</v>
      </c>
      <c r="H608" s="12" t="s">
        <v>692</v>
      </c>
      <c r="I608" s="12" t="s">
        <v>692</v>
      </c>
      <c r="J608" s="64">
        <v>39052.5</v>
      </c>
      <c r="K608" s="64">
        <v>0</v>
      </c>
      <c r="L608" s="64">
        <v>39052.5</v>
      </c>
      <c r="M608" s="64">
        <v>32996.51</v>
      </c>
      <c r="N608" s="64">
        <v>0</v>
      </c>
      <c r="O608" s="65">
        <v>6055.99</v>
      </c>
      <c r="P608" s="84">
        <f t="shared" si="23"/>
        <v>1</v>
      </c>
      <c r="Q608" s="73"/>
      <c r="R608" s="73"/>
    </row>
    <row r="609" spans="1:18" customFormat="1" x14ac:dyDescent="0.3">
      <c r="A609" s="11" t="s">
        <v>662</v>
      </c>
      <c r="B609" s="11" t="s">
        <v>164</v>
      </c>
      <c r="C609" s="12">
        <v>4580009</v>
      </c>
      <c r="D609" s="12" t="s">
        <v>709</v>
      </c>
      <c r="E609" s="116" t="s">
        <v>713</v>
      </c>
      <c r="F609" s="12" t="s">
        <v>692</v>
      </c>
      <c r="G609" s="12" t="s">
        <v>692</v>
      </c>
      <c r="H609" s="12" t="s">
        <v>692</v>
      </c>
      <c r="I609" s="12" t="s">
        <v>692</v>
      </c>
      <c r="J609" s="64">
        <v>18450</v>
      </c>
      <c r="K609" s="64">
        <v>0</v>
      </c>
      <c r="L609" s="64">
        <v>18450</v>
      </c>
      <c r="M609" s="64">
        <v>15588.9</v>
      </c>
      <c r="N609" s="64">
        <v>0</v>
      </c>
      <c r="O609" s="65">
        <v>2861.1</v>
      </c>
      <c r="P609" s="84">
        <f t="shared" si="23"/>
        <v>1</v>
      </c>
      <c r="Q609" s="73"/>
      <c r="R609" s="73"/>
    </row>
    <row r="610" spans="1:18" customFormat="1" x14ac:dyDescent="0.3">
      <c r="A610" s="11" t="s">
        <v>662</v>
      </c>
      <c r="B610" s="11" t="s">
        <v>164</v>
      </c>
      <c r="C610" s="12">
        <v>4580009</v>
      </c>
      <c r="D610" s="12" t="s">
        <v>709</v>
      </c>
      <c r="E610" s="116" t="s">
        <v>714</v>
      </c>
      <c r="F610" s="12" t="s">
        <v>692</v>
      </c>
      <c r="G610" s="12" t="s">
        <v>692</v>
      </c>
      <c r="H610" s="12" t="s">
        <v>692</v>
      </c>
      <c r="I610" s="12" t="s">
        <v>692</v>
      </c>
      <c r="J610" s="64">
        <v>43050</v>
      </c>
      <c r="K610" s="64">
        <v>0</v>
      </c>
      <c r="L610" s="64">
        <v>43050</v>
      </c>
      <c r="M610" s="64">
        <v>36374.1</v>
      </c>
      <c r="N610" s="64">
        <v>0</v>
      </c>
      <c r="O610" s="65">
        <v>6675.9</v>
      </c>
      <c r="P610" s="84">
        <f t="shared" si="23"/>
        <v>1</v>
      </c>
      <c r="Q610" s="73"/>
      <c r="R610" s="73"/>
    </row>
    <row r="611" spans="1:18" customFormat="1" x14ac:dyDescent="0.3">
      <c r="A611" s="11" t="s">
        <v>662</v>
      </c>
      <c r="B611" s="11" t="s">
        <v>164</v>
      </c>
      <c r="C611" s="12">
        <v>4580009</v>
      </c>
      <c r="D611" s="12" t="s">
        <v>709</v>
      </c>
      <c r="E611" s="116" t="s">
        <v>715</v>
      </c>
      <c r="F611" s="12" t="s">
        <v>692</v>
      </c>
      <c r="G611" s="12" t="s">
        <v>692</v>
      </c>
      <c r="H611" s="12" t="s">
        <v>692</v>
      </c>
      <c r="I611" s="12" t="s">
        <v>692</v>
      </c>
      <c r="J611" s="64">
        <v>11070</v>
      </c>
      <c r="K611" s="64">
        <v>0</v>
      </c>
      <c r="L611" s="64">
        <v>11070</v>
      </c>
      <c r="M611" s="64">
        <v>9353.34</v>
      </c>
      <c r="N611" s="64">
        <v>0</v>
      </c>
      <c r="O611" s="65">
        <v>1716.66</v>
      </c>
      <c r="P611" s="84">
        <f t="shared" si="23"/>
        <v>1</v>
      </c>
      <c r="Q611" s="73"/>
      <c r="R611" s="73"/>
    </row>
    <row r="612" spans="1:18" customFormat="1" ht="25.85" customHeight="1" x14ac:dyDescent="0.3">
      <c r="A612" s="11" t="s">
        <v>662</v>
      </c>
      <c r="B612" s="11" t="s">
        <v>164</v>
      </c>
      <c r="C612" s="12">
        <v>4602866</v>
      </c>
      <c r="D612" s="12" t="s">
        <v>734</v>
      </c>
      <c r="E612" s="116" t="s">
        <v>385</v>
      </c>
      <c r="F612" s="12" t="s">
        <v>692</v>
      </c>
      <c r="G612" s="12" t="s">
        <v>692</v>
      </c>
      <c r="H612" s="12" t="s">
        <v>692</v>
      </c>
      <c r="I612" s="12" t="s">
        <v>692</v>
      </c>
      <c r="J612" s="64">
        <v>149999.9883</v>
      </c>
      <c r="K612" s="64">
        <v>0</v>
      </c>
      <c r="L612" s="64">
        <v>149999.99</v>
      </c>
      <c r="M612" s="64">
        <v>16328.25</v>
      </c>
      <c r="N612" s="64">
        <v>23260.959999999999</v>
      </c>
      <c r="O612" s="65">
        <v>110410.78</v>
      </c>
      <c r="P612" s="84">
        <f t="shared" si="23"/>
        <v>1.0000000113333343</v>
      </c>
      <c r="Q612" s="73"/>
      <c r="R612" s="73"/>
    </row>
    <row r="613" spans="1:18" customFormat="1" ht="36.5" customHeight="1" x14ac:dyDescent="0.3">
      <c r="A613" s="11" t="s">
        <v>662</v>
      </c>
      <c r="B613" s="11" t="s">
        <v>164</v>
      </c>
      <c r="C613" s="12">
        <v>4602866</v>
      </c>
      <c r="D613" s="12" t="s">
        <v>734</v>
      </c>
      <c r="E613" s="116" t="s">
        <v>386</v>
      </c>
      <c r="F613" s="12" t="s">
        <v>692</v>
      </c>
      <c r="G613" s="12" t="s">
        <v>692</v>
      </c>
      <c r="H613" s="12" t="s">
        <v>692</v>
      </c>
      <c r="I613" s="12" t="s">
        <v>692</v>
      </c>
      <c r="J613" s="64">
        <v>67650</v>
      </c>
      <c r="K613" s="64">
        <v>10490.69</v>
      </c>
      <c r="L613" s="64">
        <v>57159.31</v>
      </c>
      <c r="M613" s="64">
        <v>0</v>
      </c>
      <c r="N613" s="64">
        <v>0</v>
      </c>
      <c r="O613" s="65">
        <v>57159.31</v>
      </c>
      <c r="P613" s="84">
        <f t="shared" si="23"/>
        <v>0.84492697708795261</v>
      </c>
      <c r="Q613" s="73"/>
      <c r="R613" s="73"/>
    </row>
    <row r="614" spans="1:18" customFormat="1" ht="25.85" customHeight="1" x14ac:dyDescent="0.3">
      <c r="A614" s="11" t="s">
        <v>662</v>
      </c>
      <c r="B614" s="11" t="s">
        <v>164</v>
      </c>
      <c r="C614" s="12">
        <v>4602866</v>
      </c>
      <c r="D614" s="12" t="s">
        <v>734</v>
      </c>
      <c r="E614" s="116" t="s">
        <v>728</v>
      </c>
      <c r="F614" s="12" t="s">
        <v>692</v>
      </c>
      <c r="G614" s="12">
        <v>23650</v>
      </c>
      <c r="H614" s="12">
        <v>15999219</v>
      </c>
      <c r="I614" s="12" t="s">
        <v>692</v>
      </c>
      <c r="J614" s="64">
        <v>18088.38</v>
      </c>
      <c r="K614" s="64">
        <v>2805.02</v>
      </c>
      <c r="L614" s="64">
        <v>15283.36</v>
      </c>
      <c r="M614" s="64">
        <v>0</v>
      </c>
      <c r="N614" s="64">
        <v>0</v>
      </c>
      <c r="O614" s="65">
        <v>15283.36</v>
      </c>
      <c r="P614" s="84">
        <f t="shared" si="23"/>
        <v>0.84492696416152246</v>
      </c>
      <c r="Q614" s="73"/>
      <c r="R614" s="73"/>
    </row>
    <row r="615" spans="1:18" customFormat="1" ht="25.85" customHeight="1" x14ac:dyDescent="0.3">
      <c r="A615" s="11" t="s">
        <v>662</v>
      </c>
      <c r="B615" s="126" t="s">
        <v>474</v>
      </c>
      <c r="C615" s="12">
        <v>4633842</v>
      </c>
      <c r="D615" s="12" t="s">
        <v>720</v>
      </c>
      <c r="E615" s="116" t="s">
        <v>554</v>
      </c>
      <c r="F615" s="12" t="s">
        <v>692</v>
      </c>
      <c r="G615" s="12" t="s">
        <v>692</v>
      </c>
      <c r="H615" s="12" t="s">
        <v>692</v>
      </c>
      <c r="I615" s="12" t="s">
        <v>692</v>
      </c>
      <c r="J615" s="64">
        <v>61069.5</v>
      </c>
      <c r="K615" s="64">
        <v>0</v>
      </c>
      <c r="L615" s="64">
        <v>61069.5</v>
      </c>
      <c r="M615" s="64">
        <v>0</v>
      </c>
      <c r="N615" s="64">
        <v>0</v>
      </c>
      <c r="O615" s="66">
        <v>61069.5</v>
      </c>
      <c r="P615" s="84">
        <f t="shared" si="23"/>
        <v>1</v>
      </c>
      <c r="Q615" s="73"/>
      <c r="R615" s="73"/>
    </row>
    <row r="616" spans="1:18" customFormat="1" ht="25.85" customHeight="1" x14ac:dyDescent="0.3">
      <c r="A616" s="11" t="s">
        <v>662</v>
      </c>
      <c r="B616" s="126" t="s">
        <v>474</v>
      </c>
      <c r="C616" s="12">
        <v>4760955</v>
      </c>
      <c r="D616" s="12" t="s">
        <v>721</v>
      </c>
      <c r="E616" s="116" t="s">
        <v>729</v>
      </c>
      <c r="F616" s="12" t="s">
        <v>692</v>
      </c>
      <c r="G616" s="12" t="s">
        <v>692</v>
      </c>
      <c r="H616" s="12" t="s">
        <v>692</v>
      </c>
      <c r="I616" s="12" t="s">
        <v>692</v>
      </c>
      <c r="J616" s="64">
        <v>0</v>
      </c>
      <c r="K616" s="64">
        <v>0</v>
      </c>
      <c r="L616" s="64">
        <v>0</v>
      </c>
      <c r="M616" s="64">
        <v>0</v>
      </c>
      <c r="N616" s="64">
        <v>0</v>
      </c>
      <c r="O616" s="65"/>
      <c r="P616" s="84">
        <v>0</v>
      </c>
      <c r="Q616" s="73"/>
      <c r="R616" s="73"/>
    </row>
    <row r="617" spans="1:18" customFormat="1" ht="25.85" customHeight="1" x14ac:dyDescent="0.3">
      <c r="A617" s="11" t="s">
        <v>662</v>
      </c>
      <c r="B617" s="126" t="s">
        <v>474</v>
      </c>
      <c r="C617" s="12">
        <v>4760955</v>
      </c>
      <c r="D617" s="12" t="s">
        <v>721</v>
      </c>
      <c r="E617" s="116" t="s">
        <v>730</v>
      </c>
      <c r="F617" s="12" t="s">
        <v>692</v>
      </c>
      <c r="G617" s="12" t="s">
        <v>692</v>
      </c>
      <c r="H617" s="12" t="s">
        <v>692</v>
      </c>
      <c r="I617" s="12" t="s">
        <v>692</v>
      </c>
      <c r="J617" s="64">
        <v>18790.8</v>
      </c>
      <c r="K617" s="64">
        <v>2818.62</v>
      </c>
      <c r="L617" s="64">
        <v>15972.18</v>
      </c>
      <c r="M617" s="64">
        <v>0</v>
      </c>
      <c r="N617" s="64">
        <v>0</v>
      </c>
      <c r="O617" s="65">
        <v>15972.18</v>
      </c>
      <c r="P617" s="84">
        <f t="shared" ref="P617:P633" si="24">L617/J617</f>
        <v>0.85000000000000009</v>
      </c>
      <c r="Q617" s="73"/>
      <c r="R617" s="73"/>
    </row>
    <row r="618" spans="1:18" s="115" customFormat="1" ht="25.85" customHeight="1" x14ac:dyDescent="0.3">
      <c r="A618" s="11" t="s">
        <v>662</v>
      </c>
      <c r="B618" s="127" t="s">
        <v>5</v>
      </c>
      <c r="C618" s="11">
        <v>4805510</v>
      </c>
      <c r="D618" s="11" t="s">
        <v>722</v>
      </c>
      <c r="E618" s="117" t="s">
        <v>139</v>
      </c>
      <c r="F618" s="11" t="s">
        <v>692</v>
      </c>
      <c r="G618" s="11" t="s">
        <v>692</v>
      </c>
      <c r="H618" s="11" t="s">
        <v>692</v>
      </c>
      <c r="I618" s="11" t="s">
        <v>692</v>
      </c>
      <c r="J618" s="125">
        <v>146493</v>
      </c>
      <c r="K618" s="125">
        <v>0</v>
      </c>
      <c r="L618" s="125">
        <v>146493</v>
      </c>
      <c r="M618" s="125">
        <v>9781.2199999999993</v>
      </c>
      <c r="N618" s="125">
        <v>0</v>
      </c>
      <c r="O618" s="66">
        <f>L618-M618</f>
        <v>136711.78</v>
      </c>
      <c r="P618" s="114">
        <f t="shared" si="24"/>
        <v>1</v>
      </c>
      <c r="Q618" s="128"/>
      <c r="R618" s="128"/>
    </row>
    <row r="619" spans="1:18" customFormat="1" ht="44.5" customHeight="1" x14ac:dyDescent="0.3">
      <c r="A619" s="11" t="s">
        <v>662</v>
      </c>
      <c r="B619" s="129" t="s">
        <v>5</v>
      </c>
      <c r="C619" s="12">
        <v>4805510</v>
      </c>
      <c r="D619" s="12" t="s">
        <v>722</v>
      </c>
      <c r="E619" s="116" t="s">
        <v>140</v>
      </c>
      <c r="F619" s="12" t="s">
        <v>692</v>
      </c>
      <c r="G619" s="12" t="s">
        <v>692</v>
      </c>
      <c r="H619" s="12" t="s">
        <v>692</v>
      </c>
      <c r="I619" s="12" t="s">
        <v>692</v>
      </c>
      <c r="J619" s="64">
        <v>53760</v>
      </c>
      <c r="K619" s="64">
        <v>8256.0300000000007</v>
      </c>
      <c r="L619" s="64">
        <v>45503.97</v>
      </c>
      <c r="M619" s="64">
        <v>0</v>
      </c>
      <c r="N619" s="64">
        <v>0</v>
      </c>
      <c r="O619" s="66">
        <v>45503.97</v>
      </c>
      <c r="P619" s="84">
        <f t="shared" si="24"/>
        <v>0.84642801339285711</v>
      </c>
      <c r="Q619" s="73"/>
      <c r="R619" s="73"/>
    </row>
    <row r="620" spans="1:18" customFormat="1" ht="44.5" customHeight="1" x14ac:dyDescent="0.3">
      <c r="A620" s="11" t="s">
        <v>662</v>
      </c>
      <c r="B620" s="129" t="s">
        <v>5</v>
      </c>
      <c r="C620" s="12">
        <v>4805510</v>
      </c>
      <c r="D620" s="12" t="s">
        <v>722</v>
      </c>
      <c r="E620" s="116" t="s">
        <v>141</v>
      </c>
      <c r="F620" s="12" t="s">
        <v>692</v>
      </c>
      <c r="G620" s="12" t="s">
        <v>692</v>
      </c>
      <c r="H620" s="12" t="s">
        <v>692</v>
      </c>
      <c r="I620" s="12" t="s">
        <v>692</v>
      </c>
      <c r="J620" s="64">
        <v>22971.48</v>
      </c>
      <c r="K620" s="64">
        <v>0</v>
      </c>
      <c r="L620" s="64">
        <v>22971.48</v>
      </c>
      <c r="M620" s="64">
        <v>0</v>
      </c>
      <c r="N620" s="64">
        <v>0</v>
      </c>
      <c r="O620" s="66">
        <v>22971.48</v>
      </c>
      <c r="P620" s="84">
        <f t="shared" si="24"/>
        <v>1</v>
      </c>
      <c r="Q620" s="73"/>
      <c r="R620" s="73"/>
    </row>
    <row r="621" spans="1:18" customFormat="1" ht="25.85" customHeight="1" x14ac:dyDescent="0.3">
      <c r="A621" s="11" t="s">
        <v>662</v>
      </c>
      <c r="B621" s="11" t="s">
        <v>164</v>
      </c>
      <c r="C621" s="12">
        <v>4834481</v>
      </c>
      <c r="D621" s="12" t="s">
        <v>723</v>
      </c>
      <c r="E621" s="116" t="s">
        <v>367</v>
      </c>
      <c r="F621" s="12" t="s">
        <v>692</v>
      </c>
      <c r="G621" s="12" t="s">
        <v>692</v>
      </c>
      <c r="H621" s="12" t="s">
        <v>692</v>
      </c>
      <c r="I621" s="12" t="s">
        <v>692</v>
      </c>
      <c r="J621" s="64">
        <v>65190</v>
      </c>
      <c r="K621" s="64">
        <v>0</v>
      </c>
      <c r="L621" s="64">
        <v>65190</v>
      </c>
      <c r="M621" s="64">
        <v>0</v>
      </c>
      <c r="N621" s="64">
        <v>4062.329999999999</v>
      </c>
      <c r="O621" s="66">
        <v>61127.67</v>
      </c>
      <c r="P621" s="84">
        <f t="shared" si="24"/>
        <v>1</v>
      </c>
      <c r="Q621" s="73"/>
      <c r="R621" s="73"/>
    </row>
    <row r="622" spans="1:18" customFormat="1" ht="25.85" customHeight="1" x14ac:dyDescent="0.3">
      <c r="A622" s="11" t="s">
        <v>662</v>
      </c>
      <c r="B622" s="11" t="s">
        <v>164</v>
      </c>
      <c r="C622" s="12">
        <v>4834481</v>
      </c>
      <c r="D622" s="12" t="s">
        <v>723</v>
      </c>
      <c r="E622" s="116" t="s">
        <v>363</v>
      </c>
      <c r="F622" s="12" t="s">
        <v>692</v>
      </c>
      <c r="G622" s="12" t="s">
        <v>692</v>
      </c>
      <c r="H622" s="12" t="s">
        <v>692</v>
      </c>
      <c r="I622" s="12" t="s">
        <v>692</v>
      </c>
      <c r="J622" s="64">
        <v>18743.439999999999</v>
      </c>
      <c r="K622" s="64">
        <v>0</v>
      </c>
      <c r="L622" s="64">
        <v>18743.439999999999</v>
      </c>
      <c r="M622" s="64">
        <v>0</v>
      </c>
      <c r="N622" s="64">
        <v>2906.6</v>
      </c>
      <c r="O622" s="66">
        <v>15836.84</v>
      </c>
      <c r="P622" s="84">
        <f t="shared" si="24"/>
        <v>1</v>
      </c>
      <c r="Q622" s="73"/>
      <c r="R622" s="73"/>
    </row>
    <row r="623" spans="1:18" customFormat="1" ht="25.85" customHeight="1" x14ac:dyDescent="0.3">
      <c r="A623" s="11" t="s">
        <v>662</v>
      </c>
      <c r="B623" s="11" t="s">
        <v>164</v>
      </c>
      <c r="C623" s="12">
        <v>4834481</v>
      </c>
      <c r="D623" s="12" t="s">
        <v>723</v>
      </c>
      <c r="E623" s="116" t="s">
        <v>139</v>
      </c>
      <c r="F623" s="12" t="s">
        <v>692</v>
      </c>
      <c r="G623" s="12" t="s">
        <v>692</v>
      </c>
      <c r="H623" s="12" t="s">
        <v>692</v>
      </c>
      <c r="I623" s="12" t="s">
        <v>692</v>
      </c>
      <c r="J623" s="64">
        <v>104550</v>
      </c>
      <c r="K623" s="64">
        <v>0</v>
      </c>
      <c r="L623" s="64">
        <v>104550</v>
      </c>
      <c r="M623" s="64">
        <v>0</v>
      </c>
      <c r="N623" s="64">
        <v>10107.4</v>
      </c>
      <c r="O623" s="66">
        <v>94442.6</v>
      </c>
      <c r="P623" s="84">
        <f t="shared" si="24"/>
        <v>1</v>
      </c>
      <c r="Q623" s="73"/>
      <c r="R623" s="73"/>
    </row>
    <row r="624" spans="1:18" customFormat="1" ht="56.8" customHeight="1" x14ac:dyDescent="0.3">
      <c r="A624" s="11" t="s">
        <v>662</v>
      </c>
      <c r="B624" s="126" t="s">
        <v>474</v>
      </c>
      <c r="C624" s="12" t="s">
        <v>726</v>
      </c>
      <c r="D624" s="12" t="s">
        <v>724</v>
      </c>
      <c r="E624" s="116" t="s">
        <v>731</v>
      </c>
      <c r="F624" s="12" t="s">
        <v>692</v>
      </c>
      <c r="G624" s="12" t="s">
        <v>692</v>
      </c>
      <c r="H624" s="12" t="s">
        <v>692</v>
      </c>
      <c r="I624" s="12" t="s">
        <v>692</v>
      </c>
      <c r="J624" s="64">
        <v>5904</v>
      </c>
      <c r="K624" s="64">
        <v>885.6</v>
      </c>
      <c r="L624" s="64">
        <v>5018.3999999999996</v>
      </c>
      <c r="M624" s="64">
        <v>0</v>
      </c>
      <c r="N624" s="64">
        <v>0</v>
      </c>
      <c r="O624" s="65">
        <v>5018.3999999999996</v>
      </c>
      <c r="P624" s="84">
        <f t="shared" si="24"/>
        <v>0.85</v>
      </c>
      <c r="Q624" s="73"/>
      <c r="R624" s="73"/>
    </row>
    <row r="625" spans="1:18" customFormat="1" ht="34.5" customHeight="1" x14ac:dyDescent="0.3">
      <c r="A625" s="11" t="s">
        <v>662</v>
      </c>
      <c r="B625" s="126" t="s">
        <v>474</v>
      </c>
      <c r="C625" s="12" t="s">
        <v>726</v>
      </c>
      <c r="D625" s="12" t="s">
        <v>724</v>
      </c>
      <c r="E625" s="116" t="s">
        <v>732</v>
      </c>
      <c r="F625" s="12" t="s">
        <v>692</v>
      </c>
      <c r="G625" s="12" t="s">
        <v>692</v>
      </c>
      <c r="H625" s="12" t="s">
        <v>692</v>
      </c>
      <c r="I625" s="12" t="s">
        <v>692</v>
      </c>
      <c r="J625" s="64">
        <v>0</v>
      </c>
      <c r="K625" s="64">
        <v>0</v>
      </c>
      <c r="L625" s="64">
        <v>0</v>
      </c>
      <c r="M625" s="64">
        <v>0</v>
      </c>
      <c r="N625" s="64">
        <v>0</v>
      </c>
      <c r="O625" s="65">
        <v>0</v>
      </c>
      <c r="P625" s="84" t="e">
        <f t="shared" si="24"/>
        <v>#DIV/0!</v>
      </c>
      <c r="Q625" s="73"/>
      <c r="R625" s="73"/>
    </row>
    <row r="626" spans="1:18" customFormat="1" ht="34.5" customHeight="1" x14ac:dyDescent="0.3">
      <c r="A626" s="11" t="s">
        <v>662</v>
      </c>
      <c r="B626" s="126" t="s">
        <v>474</v>
      </c>
      <c r="C626" s="12" t="s">
        <v>726</v>
      </c>
      <c r="D626" s="12" t="s">
        <v>724</v>
      </c>
      <c r="E626" s="116" t="s">
        <v>733</v>
      </c>
      <c r="F626" s="12" t="s">
        <v>692</v>
      </c>
      <c r="G626" s="12" t="s">
        <v>692</v>
      </c>
      <c r="H626" s="12" t="s">
        <v>692</v>
      </c>
      <c r="I626" s="12" t="s">
        <v>692</v>
      </c>
      <c r="J626" s="64">
        <v>27060</v>
      </c>
      <c r="K626" s="64">
        <v>0</v>
      </c>
      <c r="L626" s="64">
        <v>27060</v>
      </c>
      <c r="M626" s="64">
        <v>0</v>
      </c>
      <c r="N626" s="64">
        <v>0</v>
      </c>
      <c r="O626" s="65">
        <v>27060</v>
      </c>
      <c r="P626" s="84">
        <f t="shared" si="24"/>
        <v>1</v>
      </c>
      <c r="Q626" s="73"/>
      <c r="R626" s="73"/>
    </row>
    <row r="627" spans="1:18" customFormat="1" ht="34.5" customHeight="1" x14ac:dyDescent="0.3">
      <c r="A627" s="11" t="s">
        <v>662</v>
      </c>
      <c r="B627" s="11" t="s">
        <v>164</v>
      </c>
      <c r="C627" s="12" t="s">
        <v>727</v>
      </c>
      <c r="D627" s="12" t="s">
        <v>725</v>
      </c>
      <c r="E627" s="116" t="s">
        <v>136</v>
      </c>
      <c r="F627" s="12" t="s">
        <v>692</v>
      </c>
      <c r="G627" s="12" t="s">
        <v>692</v>
      </c>
      <c r="H627" s="12" t="s">
        <v>692</v>
      </c>
      <c r="I627" s="12" t="s">
        <v>692</v>
      </c>
      <c r="J627" s="64">
        <v>4200</v>
      </c>
      <c r="K627" s="64">
        <v>0</v>
      </c>
      <c r="L627" s="64">
        <v>4200</v>
      </c>
      <c r="M627" s="64">
        <v>0</v>
      </c>
      <c r="N627" s="64">
        <v>0</v>
      </c>
      <c r="O627" s="65">
        <v>4200</v>
      </c>
      <c r="P627" s="84">
        <f t="shared" si="24"/>
        <v>1</v>
      </c>
      <c r="Q627" s="73"/>
      <c r="R627" s="73"/>
    </row>
    <row r="628" spans="1:18" customFormat="1" ht="34.5" customHeight="1" x14ac:dyDescent="0.3">
      <c r="A628" s="11" t="s">
        <v>662</v>
      </c>
      <c r="B628" s="11" t="s">
        <v>164</v>
      </c>
      <c r="C628" s="12" t="s">
        <v>727</v>
      </c>
      <c r="D628" s="12" t="s">
        <v>725</v>
      </c>
      <c r="E628" s="116" t="s">
        <v>363</v>
      </c>
      <c r="F628" s="12" t="s">
        <v>692</v>
      </c>
      <c r="G628" s="12" t="s">
        <v>692</v>
      </c>
      <c r="H628" s="12" t="s">
        <v>692</v>
      </c>
      <c r="I628" s="12" t="s">
        <v>692</v>
      </c>
      <c r="J628" s="64">
        <v>22834.01</v>
      </c>
      <c r="K628" s="64">
        <v>0</v>
      </c>
      <c r="L628" s="64">
        <v>22834.01</v>
      </c>
      <c r="M628" s="64">
        <v>0</v>
      </c>
      <c r="N628" s="64">
        <v>0</v>
      </c>
      <c r="O628" s="65">
        <v>22834.01</v>
      </c>
      <c r="P628" s="84">
        <f t="shared" si="24"/>
        <v>1</v>
      </c>
      <c r="Q628" s="73"/>
      <c r="R628" s="73"/>
    </row>
    <row r="629" spans="1:18" customFormat="1" ht="34.5" customHeight="1" x14ac:dyDescent="0.3">
      <c r="A629" s="11" t="s">
        <v>662</v>
      </c>
      <c r="B629" s="11" t="s">
        <v>164</v>
      </c>
      <c r="C629" s="12" t="s">
        <v>727</v>
      </c>
      <c r="D629" s="12" t="s">
        <v>725</v>
      </c>
      <c r="E629" s="116" t="s">
        <v>364</v>
      </c>
      <c r="F629" s="12" t="s">
        <v>692</v>
      </c>
      <c r="G629" s="12" t="s">
        <v>692</v>
      </c>
      <c r="H629" s="12" t="s">
        <v>692</v>
      </c>
      <c r="I629" s="12" t="s">
        <v>692</v>
      </c>
      <c r="J629" s="64">
        <v>3500</v>
      </c>
      <c r="K629" s="64">
        <v>542.76</v>
      </c>
      <c r="L629" s="64">
        <v>2957.24</v>
      </c>
      <c r="M629" s="64">
        <v>0</v>
      </c>
      <c r="N629" s="64">
        <v>0</v>
      </c>
      <c r="O629" s="65">
        <v>2957.24</v>
      </c>
      <c r="P629" s="84">
        <f t="shared" si="24"/>
        <v>0.84492571428571417</v>
      </c>
      <c r="Q629" s="73"/>
      <c r="R629" s="73"/>
    </row>
    <row r="630" spans="1:18" customFormat="1" ht="34.5" customHeight="1" x14ac:dyDescent="0.3">
      <c r="A630" s="11" t="s">
        <v>662</v>
      </c>
      <c r="B630" s="11" t="s">
        <v>164</v>
      </c>
      <c r="C630" s="12" t="s">
        <v>727</v>
      </c>
      <c r="D630" s="12" t="s">
        <v>725</v>
      </c>
      <c r="E630" s="116" t="s">
        <v>365</v>
      </c>
      <c r="F630" s="12" t="s">
        <v>692</v>
      </c>
      <c r="G630" s="12" t="s">
        <v>692</v>
      </c>
      <c r="H630" s="12" t="s">
        <v>692</v>
      </c>
      <c r="I630" s="12" t="s">
        <v>692</v>
      </c>
      <c r="J630" s="64">
        <v>7380</v>
      </c>
      <c r="K630" s="64">
        <v>1144.44</v>
      </c>
      <c r="L630" s="64">
        <v>6235.56</v>
      </c>
      <c r="M630" s="64">
        <v>0</v>
      </c>
      <c r="N630" s="64">
        <v>0</v>
      </c>
      <c r="O630" s="65">
        <v>6235.56</v>
      </c>
      <c r="P630" s="84">
        <f t="shared" si="24"/>
        <v>0.84492682926829277</v>
      </c>
      <c r="Q630" s="73"/>
      <c r="R630" s="73"/>
    </row>
    <row r="631" spans="1:18" customFormat="1" ht="39.4" customHeight="1" x14ac:dyDescent="0.3">
      <c r="A631" s="11" t="s">
        <v>662</v>
      </c>
      <c r="B631" s="129" t="s">
        <v>5</v>
      </c>
      <c r="C631" s="12">
        <v>4920818</v>
      </c>
      <c r="D631" s="12" t="s">
        <v>735</v>
      </c>
      <c r="E631" s="116" t="s">
        <v>146</v>
      </c>
      <c r="F631" s="12" t="s">
        <v>692</v>
      </c>
      <c r="G631" s="12">
        <v>23650</v>
      </c>
      <c r="H631" s="12">
        <v>15998891</v>
      </c>
      <c r="I631" s="12">
        <v>1221666</v>
      </c>
      <c r="J631" s="64">
        <v>65000</v>
      </c>
      <c r="K631" s="64">
        <v>9982.18</v>
      </c>
      <c r="L631" s="64">
        <v>55017.82</v>
      </c>
      <c r="M631" s="64">
        <v>55017.82</v>
      </c>
      <c r="N631" s="64">
        <v>0</v>
      </c>
      <c r="O631" s="66">
        <v>0</v>
      </c>
      <c r="P631" s="84">
        <f t="shared" si="24"/>
        <v>0.84642799999999996</v>
      </c>
      <c r="Q631" s="73"/>
      <c r="R631" s="73"/>
    </row>
    <row r="632" spans="1:18" customFormat="1" ht="25.85" customHeight="1" x14ac:dyDescent="0.3">
      <c r="A632" s="11" t="s">
        <v>662</v>
      </c>
      <c r="B632" s="129" t="s">
        <v>5</v>
      </c>
      <c r="C632" s="12">
        <v>4920818</v>
      </c>
      <c r="D632" s="12" t="s">
        <v>735</v>
      </c>
      <c r="E632" s="116" t="s">
        <v>147</v>
      </c>
      <c r="F632" s="12" t="s">
        <v>692</v>
      </c>
      <c r="G632" s="12">
        <v>23650</v>
      </c>
      <c r="H632" s="12">
        <v>15998893</v>
      </c>
      <c r="I632" s="12">
        <v>1221695</v>
      </c>
      <c r="J632" s="64">
        <v>30000</v>
      </c>
      <c r="K632" s="64">
        <v>4607.16</v>
      </c>
      <c r="L632" s="64">
        <v>25392.84</v>
      </c>
      <c r="M632" s="64">
        <v>25392.84</v>
      </c>
      <c r="N632" s="64">
        <v>0</v>
      </c>
      <c r="O632" s="66">
        <v>0</v>
      </c>
      <c r="P632" s="84">
        <f t="shared" si="24"/>
        <v>0.84642799999999996</v>
      </c>
      <c r="Q632" s="73"/>
      <c r="R632" s="73"/>
    </row>
    <row r="633" spans="1:18" customFormat="1" ht="25.85" customHeight="1" x14ac:dyDescent="0.3">
      <c r="A633" s="11" t="s">
        <v>662</v>
      </c>
      <c r="B633" s="129" t="s">
        <v>5</v>
      </c>
      <c r="C633" s="12">
        <v>4920818</v>
      </c>
      <c r="D633" s="12" t="s">
        <v>735</v>
      </c>
      <c r="E633" s="116" t="s">
        <v>678</v>
      </c>
      <c r="F633" s="12" t="s">
        <v>692</v>
      </c>
      <c r="G633" s="12" t="s">
        <v>692</v>
      </c>
      <c r="H633" s="12" t="s">
        <v>692</v>
      </c>
      <c r="I633" s="12" t="s">
        <v>692</v>
      </c>
      <c r="J633" s="64">
        <v>55000</v>
      </c>
      <c r="K633" s="64">
        <v>8446.4599999999991</v>
      </c>
      <c r="L633" s="64">
        <v>46553.54</v>
      </c>
      <c r="M633" s="64">
        <v>46553.54</v>
      </c>
      <c r="N633" s="64">
        <v>0</v>
      </c>
      <c r="O633" s="66">
        <v>0</v>
      </c>
      <c r="P633" s="84">
        <f t="shared" si="24"/>
        <v>0.84642800000000007</v>
      </c>
      <c r="Q633" s="73"/>
      <c r="R633" s="73"/>
    </row>
    <row r="634" spans="1:18" customFormat="1" x14ac:dyDescent="0.3">
      <c r="E634" s="108"/>
      <c r="F634" s="109"/>
      <c r="G634" s="109"/>
      <c r="H634" s="109"/>
      <c r="I634" s="109"/>
      <c r="J634" s="110">
        <f>SUM(J3:J633)</f>
        <v>114835884.58966583</v>
      </c>
      <c r="K634" s="110"/>
      <c r="L634" s="110">
        <f>SUM(L3:L633)</f>
        <v>110290809.81357908</v>
      </c>
      <c r="M634" s="110">
        <f>SUM(M3:M633)</f>
        <v>93657769.214775622</v>
      </c>
      <c r="N634" s="110">
        <f>SUM(N3:N633)</f>
        <v>13999801.429204613</v>
      </c>
      <c r="O634" s="110">
        <f>SUM(O3:O633)</f>
        <v>2633239.1595988246</v>
      </c>
      <c r="P634" s="110"/>
      <c r="Q634" s="110">
        <f>SUM(Q3:Q633)</f>
        <v>56820.140362081518</v>
      </c>
      <c r="R634" s="110">
        <f>SUM(R3:R633)</f>
        <v>56153.753303257989</v>
      </c>
    </row>
    <row r="635" spans="1:18" customFormat="1" x14ac:dyDescent="0.3">
      <c r="E635" s="108"/>
      <c r="F635" s="109"/>
      <c r="G635" s="109"/>
      <c r="H635" s="109"/>
      <c r="I635" s="109"/>
      <c r="J635" s="110"/>
      <c r="K635" s="110"/>
      <c r="L635" s="110"/>
      <c r="M635" s="110"/>
      <c r="N635" s="110"/>
      <c r="O635" s="110"/>
      <c r="P635" s="111"/>
      <c r="Q635" s="112"/>
      <c r="R635" s="112"/>
    </row>
    <row r="636" spans="1:18" customFormat="1" x14ac:dyDescent="0.3">
      <c r="E636" s="108"/>
      <c r="F636" s="109"/>
      <c r="G636" s="109"/>
      <c r="H636" s="109"/>
      <c r="I636" s="109"/>
      <c r="J636" s="110"/>
      <c r="K636" s="110"/>
      <c r="L636" s="110"/>
      <c r="M636" s="110"/>
      <c r="N636" s="110"/>
      <c r="O636" s="110"/>
      <c r="P636" s="111"/>
      <c r="Q636" s="112"/>
      <c r="R636" s="112"/>
    </row>
    <row r="637" spans="1:18" customFormat="1" x14ac:dyDescent="0.3">
      <c r="E637" s="108"/>
      <c r="F637" s="109"/>
      <c r="G637" s="109"/>
      <c r="H637" s="109"/>
      <c r="I637" s="109"/>
      <c r="J637" s="110"/>
      <c r="K637" s="110"/>
      <c r="L637" s="110"/>
      <c r="M637" s="110"/>
      <c r="N637" s="110"/>
      <c r="O637" s="110"/>
      <c r="P637" s="111"/>
      <c r="Q637" s="112"/>
      <c r="R637" s="112"/>
    </row>
    <row r="638" spans="1:18" customFormat="1" x14ac:dyDescent="0.3"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10"/>
      <c r="P638" s="111"/>
      <c r="Q638" s="112"/>
      <c r="R638" s="112"/>
    </row>
    <row r="639" spans="1:18" customFormat="1" x14ac:dyDescent="0.3"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10"/>
      <c r="P639" s="111"/>
      <c r="Q639" s="112"/>
      <c r="R639" s="112"/>
    </row>
    <row r="640" spans="1:18" customFormat="1" x14ac:dyDescent="0.3"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10"/>
      <c r="P640" s="111"/>
      <c r="Q640" s="112"/>
      <c r="R640" s="112"/>
    </row>
    <row r="641" spans="5:18" customFormat="1" x14ac:dyDescent="0.3">
      <c r="E641" s="108"/>
      <c r="F641" s="109"/>
      <c r="G641" s="109"/>
      <c r="H641" s="109"/>
      <c r="I641" s="109"/>
      <c r="J641" s="110"/>
      <c r="K641" s="110"/>
      <c r="L641" s="110"/>
      <c r="M641" s="110"/>
      <c r="N641" s="110"/>
      <c r="O641" s="110"/>
      <c r="P641" s="111"/>
      <c r="Q641" s="112"/>
      <c r="R641" s="112"/>
    </row>
    <row r="642" spans="5:18" customFormat="1" x14ac:dyDescent="0.3">
      <c r="E642" s="108"/>
      <c r="F642" s="109"/>
      <c r="G642" s="109"/>
      <c r="H642" s="109"/>
      <c r="I642" s="109"/>
      <c r="J642" s="110"/>
      <c r="K642" s="110"/>
      <c r="L642" s="110"/>
      <c r="M642" s="110"/>
      <c r="N642" s="110"/>
      <c r="O642" s="110"/>
      <c r="P642" s="111"/>
      <c r="Q642" s="112"/>
      <c r="R642" s="112"/>
    </row>
    <row r="643" spans="5:18" customFormat="1" x14ac:dyDescent="0.3">
      <c r="E643" s="108"/>
      <c r="F643" s="109"/>
      <c r="G643" s="109"/>
      <c r="H643" s="109"/>
      <c r="I643" s="109"/>
      <c r="J643" s="110"/>
      <c r="K643" s="110"/>
      <c r="L643" s="110"/>
      <c r="M643" s="110"/>
      <c r="N643" s="110"/>
      <c r="O643" s="110"/>
      <c r="P643" s="111"/>
      <c r="Q643" s="112"/>
      <c r="R643" s="112"/>
    </row>
    <row r="644" spans="5:18" customFormat="1" x14ac:dyDescent="0.3">
      <c r="E644" s="108"/>
      <c r="F644" s="109"/>
      <c r="G644" s="109"/>
      <c r="H644" s="109"/>
      <c r="I644" s="109"/>
      <c r="J644" s="110"/>
      <c r="K644" s="110"/>
      <c r="L644" s="110"/>
      <c r="M644" s="110"/>
      <c r="N644" s="110"/>
      <c r="O644" s="110"/>
      <c r="P644" s="111"/>
      <c r="Q644" s="112"/>
      <c r="R644" s="112"/>
    </row>
    <row r="645" spans="5:18" customFormat="1" x14ac:dyDescent="0.3">
      <c r="E645" s="108"/>
      <c r="F645" s="109"/>
      <c r="G645" s="109"/>
      <c r="H645" s="109"/>
      <c r="I645" s="109"/>
      <c r="J645" s="110"/>
      <c r="K645" s="110"/>
      <c r="L645" s="110"/>
      <c r="M645" s="110"/>
      <c r="N645" s="110"/>
      <c r="O645" s="110"/>
      <c r="P645" s="111"/>
      <c r="Q645" s="112"/>
      <c r="R645" s="112"/>
    </row>
    <row r="646" spans="5:18" customFormat="1" x14ac:dyDescent="0.3">
      <c r="E646" s="108"/>
      <c r="F646" s="109"/>
      <c r="G646" s="109"/>
      <c r="H646" s="109"/>
      <c r="I646" s="109"/>
      <c r="J646" s="110"/>
      <c r="K646" s="110"/>
      <c r="L646" s="110"/>
      <c r="M646" s="110"/>
      <c r="N646" s="110"/>
      <c r="O646" s="110"/>
      <c r="P646" s="111"/>
      <c r="Q646" s="112"/>
      <c r="R646" s="112"/>
    </row>
    <row r="647" spans="5:18" customFormat="1" x14ac:dyDescent="0.3">
      <c r="E647" s="108"/>
      <c r="F647" s="109"/>
      <c r="G647" s="109"/>
      <c r="H647" s="109"/>
      <c r="I647" s="109"/>
      <c r="J647" s="110"/>
      <c r="K647" s="110"/>
      <c r="L647" s="110"/>
      <c r="M647" s="110"/>
      <c r="N647" s="110"/>
      <c r="O647" s="110"/>
      <c r="P647" s="111"/>
      <c r="Q647" s="112"/>
      <c r="R647" s="112"/>
    </row>
    <row r="648" spans="5:18" customFormat="1" x14ac:dyDescent="0.3">
      <c r="E648" s="108"/>
      <c r="F648" s="109"/>
      <c r="G648" s="109"/>
      <c r="H648" s="109"/>
      <c r="I648" s="109"/>
      <c r="J648" s="110"/>
      <c r="K648" s="110"/>
      <c r="L648" s="110"/>
      <c r="M648" s="110"/>
      <c r="N648" s="110"/>
      <c r="O648" s="110"/>
      <c r="P648" s="111"/>
      <c r="Q648" s="112"/>
      <c r="R648" s="112"/>
    </row>
    <row r="649" spans="5:18" customFormat="1" x14ac:dyDescent="0.3">
      <c r="E649" s="108"/>
      <c r="F649" s="109"/>
      <c r="G649" s="109"/>
      <c r="H649" s="109"/>
      <c r="I649" s="109"/>
      <c r="J649" s="110"/>
      <c r="K649" s="110"/>
      <c r="L649" s="110"/>
      <c r="M649" s="110"/>
      <c r="N649" s="110"/>
      <c r="O649" s="110"/>
      <c r="P649" s="111"/>
      <c r="Q649" s="112"/>
      <c r="R649" s="112"/>
    </row>
    <row r="650" spans="5:18" customFormat="1" x14ac:dyDescent="0.3">
      <c r="E650" s="108"/>
      <c r="F650" s="109"/>
      <c r="G650" s="109"/>
      <c r="H650" s="109"/>
      <c r="I650" s="109"/>
      <c r="J650" s="110"/>
      <c r="K650" s="110"/>
      <c r="L650" s="110"/>
      <c r="M650" s="110"/>
      <c r="N650" s="110"/>
      <c r="O650" s="110"/>
      <c r="P650" s="111"/>
      <c r="Q650" s="112"/>
      <c r="R650" s="112"/>
    </row>
    <row r="651" spans="5:18" customFormat="1" x14ac:dyDescent="0.3">
      <c r="E651" s="108"/>
      <c r="F651" s="109"/>
      <c r="G651" s="109"/>
      <c r="H651" s="109"/>
      <c r="I651" s="109"/>
      <c r="J651" s="110"/>
      <c r="K651" s="110"/>
      <c r="L651" s="110"/>
      <c r="M651" s="110"/>
      <c r="N651" s="110"/>
      <c r="O651" s="110"/>
      <c r="P651" s="111"/>
      <c r="Q651" s="112"/>
      <c r="R651" s="112"/>
    </row>
    <row r="652" spans="5:18" customFormat="1" x14ac:dyDescent="0.3">
      <c r="E652" s="108"/>
      <c r="F652" s="109"/>
      <c r="G652" s="109"/>
      <c r="H652" s="109"/>
      <c r="I652" s="109"/>
      <c r="J652" s="110"/>
      <c r="K652" s="110"/>
      <c r="L652" s="110"/>
      <c r="M652" s="110"/>
      <c r="N652" s="110"/>
      <c r="O652" s="110"/>
      <c r="P652" s="111"/>
      <c r="Q652" s="112"/>
      <c r="R652" s="112"/>
    </row>
    <row r="653" spans="5:18" customFormat="1" x14ac:dyDescent="0.3">
      <c r="E653" s="108"/>
      <c r="F653" s="109"/>
      <c r="G653" s="109"/>
      <c r="H653" s="109"/>
      <c r="I653" s="109"/>
      <c r="J653" s="110"/>
      <c r="K653" s="110"/>
      <c r="L653" s="110"/>
      <c r="M653" s="110"/>
      <c r="N653" s="110"/>
      <c r="O653" s="110"/>
      <c r="P653" s="111"/>
      <c r="Q653" s="112"/>
      <c r="R653" s="112"/>
    </row>
    <row r="654" spans="5:18" customFormat="1" x14ac:dyDescent="0.3">
      <c r="E654" s="108"/>
      <c r="F654" s="109"/>
      <c r="G654" s="109"/>
      <c r="H654" s="109"/>
      <c r="I654" s="109"/>
      <c r="J654" s="110"/>
      <c r="K654" s="110"/>
      <c r="L654" s="110"/>
      <c r="M654" s="110"/>
      <c r="N654" s="110"/>
      <c r="O654" s="110"/>
      <c r="P654" s="111"/>
      <c r="Q654" s="112"/>
      <c r="R654" s="112"/>
    </row>
    <row r="655" spans="5:18" customFormat="1" x14ac:dyDescent="0.3">
      <c r="E655" s="108"/>
      <c r="F655" s="109"/>
      <c r="G655" s="109"/>
      <c r="H655" s="109"/>
      <c r="I655" s="109"/>
      <c r="J655" s="110"/>
      <c r="K655" s="110"/>
      <c r="L655" s="110"/>
      <c r="M655" s="110"/>
      <c r="N655" s="110"/>
      <c r="O655" s="110"/>
      <c r="P655" s="111"/>
      <c r="Q655" s="112"/>
      <c r="R655" s="112"/>
    </row>
    <row r="656" spans="5:18" customFormat="1" x14ac:dyDescent="0.3">
      <c r="E656" s="108"/>
      <c r="F656" s="109"/>
      <c r="G656" s="109"/>
      <c r="H656" s="109"/>
      <c r="I656" s="109"/>
      <c r="J656" s="110"/>
      <c r="K656" s="110"/>
      <c r="L656" s="110"/>
      <c r="M656" s="110"/>
      <c r="N656" s="110"/>
      <c r="O656" s="110"/>
      <c r="P656" s="111"/>
      <c r="Q656" s="112"/>
      <c r="R656" s="112"/>
    </row>
    <row r="657" spans="5:18" customFormat="1" x14ac:dyDescent="0.3">
      <c r="E657" s="108"/>
      <c r="F657" s="109"/>
      <c r="G657" s="109"/>
      <c r="H657" s="109"/>
      <c r="I657" s="109"/>
      <c r="J657" s="110"/>
      <c r="K657" s="110"/>
      <c r="L657" s="110"/>
      <c r="M657" s="110"/>
      <c r="N657" s="110"/>
      <c r="O657" s="110"/>
      <c r="P657" s="111"/>
      <c r="Q657" s="112"/>
      <c r="R657" s="112"/>
    </row>
    <row r="658" spans="5:18" customFormat="1" x14ac:dyDescent="0.3">
      <c r="E658" s="108"/>
      <c r="F658" s="109"/>
      <c r="G658" s="109"/>
      <c r="H658" s="109"/>
      <c r="I658" s="109"/>
      <c r="J658" s="110"/>
      <c r="K658" s="110"/>
      <c r="L658" s="110"/>
      <c r="M658" s="110"/>
      <c r="N658" s="110"/>
      <c r="O658" s="110"/>
      <c r="P658" s="111"/>
      <c r="Q658" s="112"/>
      <c r="R658" s="112"/>
    </row>
    <row r="659" spans="5:18" customFormat="1" x14ac:dyDescent="0.3">
      <c r="E659" s="108"/>
      <c r="F659" s="109"/>
      <c r="G659" s="109"/>
      <c r="H659" s="109"/>
      <c r="I659" s="109"/>
      <c r="J659" s="110"/>
      <c r="K659" s="110"/>
      <c r="L659" s="110"/>
      <c r="M659" s="110"/>
      <c r="N659" s="110"/>
      <c r="O659" s="110"/>
      <c r="P659" s="111"/>
      <c r="Q659" s="112"/>
      <c r="R659" s="112"/>
    </row>
    <row r="660" spans="5:18" customFormat="1" x14ac:dyDescent="0.3">
      <c r="E660" s="108"/>
      <c r="F660" s="109"/>
      <c r="G660" s="109"/>
      <c r="H660" s="109"/>
      <c r="I660" s="109"/>
      <c r="J660" s="110"/>
      <c r="K660" s="110"/>
      <c r="L660" s="110"/>
      <c r="M660" s="110"/>
      <c r="N660" s="110"/>
      <c r="O660" s="110"/>
      <c r="P660" s="111"/>
      <c r="Q660" s="112"/>
      <c r="R660" s="112"/>
    </row>
    <row r="661" spans="5:18" customFormat="1" x14ac:dyDescent="0.3">
      <c r="E661" s="108"/>
      <c r="F661" s="109"/>
      <c r="G661" s="109"/>
      <c r="H661" s="109"/>
      <c r="I661" s="109"/>
      <c r="J661" s="110"/>
      <c r="K661" s="110"/>
      <c r="L661" s="110"/>
      <c r="M661" s="110"/>
      <c r="N661" s="110"/>
      <c r="O661" s="110"/>
      <c r="P661" s="111"/>
      <c r="Q661" s="112"/>
      <c r="R661" s="112"/>
    </row>
    <row r="662" spans="5:18" customFormat="1" x14ac:dyDescent="0.3">
      <c r="E662" s="108"/>
      <c r="F662" s="109"/>
      <c r="G662" s="109"/>
      <c r="H662" s="109"/>
      <c r="I662" s="109"/>
      <c r="J662" s="110"/>
      <c r="K662" s="110"/>
      <c r="L662" s="110"/>
      <c r="M662" s="110"/>
      <c r="N662" s="110"/>
      <c r="O662" s="110"/>
      <c r="P662" s="111"/>
      <c r="Q662" s="112"/>
      <c r="R662" s="112"/>
    </row>
    <row r="663" spans="5:18" customFormat="1" x14ac:dyDescent="0.3">
      <c r="E663" s="108"/>
      <c r="F663" s="109"/>
      <c r="G663" s="109"/>
      <c r="H663" s="109"/>
      <c r="I663" s="109"/>
      <c r="J663" s="110"/>
      <c r="K663" s="110"/>
      <c r="L663" s="110"/>
      <c r="M663" s="110"/>
      <c r="N663" s="110"/>
      <c r="O663" s="110"/>
      <c r="P663" s="111"/>
      <c r="Q663" s="112"/>
      <c r="R663" s="112"/>
    </row>
    <row r="664" spans="5:18" customFormat="1" x14ac:dyDescent="0.3">
      <c r="E664" s="108"/>
      <c r="F664" s="109"/>
      <c r="G664" s="109"/>
      <c r="H664" s="109"/>
      <c r="I664" s="109"/>
      <c r="J664" s="110"/>
      <c r="K664" s="110"/>
      <c r="L664" s="110"/>
      <c r="M664" s="110"/>
      <c r="N664" s="110"/>
      <c r="O664" s="110"/>
      <c r="P664" s="111"/>
      <c r="Q664" s="112"/>
      <c r="R664" s="112"/>
    </row>
    <row r="665" spans="5:18" customFormat="1" x14ac:dyDescent="0.3">
      <c r="E665" s="108"/>
      <c r="F665" s="109"/>
      <c r="G665" s="109"/>
      <c r="H665" s="109"/>
      <c r="I665" s="109"/>
      <c r="J665" s="110"/>
      <c r="K665" s="110"/>
      <c r="L665" s="110"/>
      <c r="M665" s="110"/>
      <c r="N665" s="110"/>
      <c r="O665" s="110"/>
      <c r="P665" s="111"/>
      <c r="Q665" s="112"/>
      <c r="R665" s="112"/>
    </row>
    <row r="666" spans="5:18" customFormat="1" x14ac:dyDescent="0.3">
      <c r="E666" s="108"/>
      <c r="F666" s="109"/>
      <c r="G666" s="109"/>
      <c r="H666" s="109"/>
      <c r="I666" s="109"/>
      <c r="J666" s="110"/>
      <c r="K666" s="110"/>
      <c r="L666" s="110"/>
      <c r="M666" s="110"/>
      <c r="N666" s="110"/>
      <c r="O666" s="110"/>
      <c r="P666" s="111"/>
      <c r="Q666" s="112"/>
      <c r="R666" s="112"/>
    </row>
    <row r="667" spans="5:18" customFormat="1" x14ac:dyDescent="0.3">
      <c r="E667" s="108"/>
      <c r="F667" s="109"/>
      <c r="G667" s="109"/>
      <c r="H667" s="109"/>
      <c r="I667" s="109"/>
      <c r="J667" s="110"/>
      <c r="K667" s="110"/>
      <c r="L667" s="110"/>
      <c r="M667" s="110"/>
      <c r="N667" s="110"/>
      <c r="O667" s="110"/>
      <c r="P667" s="111"/>
      <c r="Q667" s="112"/>
      <c r="R667" s="112"/>
    </row>
    <row r="668" spans="5:18" customFormat="1" x14ac:dyDescent="0.3">
      <c r="E668" s="108"/>
      <c r="F668" s="109"/>
      <c r="G668" s="109"/>
      <c r="H668" s="109"/>
      <c r="I668" s="109"/>
      <c r="J668" s="110"/>
      <c r="K668" s="110"/>
      <c r="L668" s="110"/>
      <c r="M668" s="110"/>
      <c r="N668" s="110"/>
      <c r="O668" s="110"/>
      <c r="P668" s="111"/>
      <c r="Q668" s="112"/>
      <c r="R668" s="112"/>
    </row>
    <row r="669" spans="5:18" customFormat="1" x14ac:dyDescent="0.3">
      <c r="E669" s="108"/>
      <c r="F669" s="109"/>
      <c r="G669" s="109"/>
      <c r="H669" s="109"/>
      <c r="I669" s="109"/>
      <c r="J669" s="110"/>
      <c r="K669" s="110"/>
      <c r="L669" s="110"/>
      <c r="M669" s="110"/>
      <c r="N669" s="110"/>
      <c r="O669" s="110"/>
      <c r="P669" s="111"/>
      <c r="Q669" s="112"/>
      <c r="R669" s="112"/>
    </row>
    <row r="670" spans="5:18" customFormat="1" x14ac:dyDescent="0.3">
      <c r="E670" s="108"/>
      <c r="F670" s="109"/>
      <c r="G670" s="109"/>
      <c r="H670" s="109"/>
      <c r="I670" s="109"/>
      <c r="J670" s="110"/>
      <c r="K670" s="110"/>
      <c r="L670" s="110"/>
      <c r="M670" s="110"/>
      <c r="N670" s="110"/>
      <c r="O670" s="110"/>
      <c r="P670" s="111"/>
      <c r="Q670" s="112"/>
      <c r="R670" s="112"/>
    </row>
    <row r="671" spans="5:18" customFormat="1" x14ac:dyDescent="0.3">
      <c r="E671" s="108"/>
      <c r="F671" s="109"/>
      <c r="G671" s="109"/>
      <c r="H671" s="109"/>
      <c r="I671" s="109"/>
      <c r="J671" s="110"/>
      <c r="K671" s="110"/>
      <c r="L671" s="110"/>
      <c r="M671" s="110"/>
      <c r="N671" s="110"/>
      <c r="O671" s="110"/>
      <c r="P671" s="111"/>
      <c r="Q671" s="112"/>
      <c r="R671" s="112"/>
    </row>
    <row r="672" spans="5:18" customFormat="1" x14ac:dyDescent="0.3">
      <c r="E672" s="108"/>
      <c r="F672" s="109"/>
      <c r="G672" s="109"/>
      <c r="H672" s="109"/>
      <c r="I672" s="109"/>
      <c r="J672" s="110"/>
      <c r="K672" s="110"/>
      <c r="L672" s="110"/>
      <c r="M672" s="110"/>
      <c r="N672" s="110"/>
      <c r="O672" s="110"/>
      <c r="P672" s="111"/>
      <c r="Q672" s="112"/>
      <c r="R672" s="112"/>
    </row>
    <row r="673" spans="5:18" customFormat="1" x14ac:dyDescent="0.3">
      <c r="E673" s="108"/>
      <c r="F673" s="109"/>
      <c r="G673" s="109"/>
      <c r="H673" s="109"/>
      <c r="I673" s="109"/>
      <c r="J673" s="110"/>
      <c r="K673" s="110"/>
      <c r="L673" s="110"/>
      <c r="M673" s="110"/>
      <c r="N673" s="110"/>
      <c r="O673" s="110"/>
      <c r="P673" s="111"/>
      <c r="Q673" s="112"/>
      <c r="R673" s="112"/>
    </row>
    <row r="674" spans="5:18" customFormat="1" x14ac:dyDescent="0.3">
      <c r="E674" s="108"/>
      <c r="F674" s="109"/>
      <c r="G674" s="109"/>
      <c r="H674" s="109"/>
      <c r="I674" s="109"/>
      <c r="J674" s="110"/>
      <c r="K674" s="110"/>
      <c r="L674" s="110"/>
      <c r="M674" s="110"/>
      <c r="N674" s="110"/>
      <c r="O674" s="110"/>
      <c r="P674" s="111"/>
      <c r="Q674" s="112"/>
      <c r="R674" s="112"/>
    </row>
    <row r="675" spans="5:18" customFormat="1" x14ac:dyDescent="0.3">
      <c r="E675" s="108"/>
      <c r="F675" s="109"/>
      <c r="G675" s="109"/>
      <c r="H675" s="109"/>
      <c r="I675" s="109"/>
      <c r="J675" s="110"/>
      <c r="K675" s="110"/>
      <c r="L675" s="110"/>
      <c r="M675" s="110"/>
      <c r="N675" s="110"/>
      <c r="O675" s="110"/>
      <c r="P675" s="111"/>
      <c r="Q675" s="112"/>
      <c r="R675" s="112"/>
    </row>
    <row r="676" spans="5:18" customFormat="1" x14ac:dyDescent="0.3">
      <c r="E676" s="108"/>
      <c r="F676" s="109"/>
      <c r="G676" s="109"/>
      <c r="H676" s="109"/>
      <c r="I676" s="109"/>
      <c r="J676" s="110"/>
      <c r="K676" s="110"/>
      <c r="L676" s="110"/>
      <c r="M676" s="110"/>
      <c r="N676" s="110"/>
      <c r="O676" s="110"/>
      <c r="P676" s="111"/>
      <c r="Q676" s="112"/>
      <c r="R676" s="112"/>
    </row>
    <row r="677" spans="5:18" customFormat="1" x14ac:dyDescent="0.3">
      <c r="E677" s="108"/>
      <c r="F677" s="109"/>
      <c r="G677" s="109"/>
      <c r="H677" s="109"/>
      <c r="I677" s="109"/>
      <c r="J677" s="110"/>
      <c r="K677" s="110"/>
      <c r="L677" s="110"/>
      <c r="M677" s="110"/>
      <c r="N677" s="110"/>
      <c r="O677" s="110"/>
      <c r="P677" s="111"/>
      <c r="Q677" s="112"/>
      <c r="R677" s="112"/>
    </row>
    <row r="678" spans="5:18" customFormat="1" x14ac:dyDescent="0.3">
      <c r="E678" s="108"/>
      <c r="F678" s="109"/>
      <c r="G678" s="109"/>
      <c r="H678" s="109"/>
      <c r="I678" s="109"/>
      <c r="J678" s="110"/>
      <c r="K678" s="110"/>
      <c r="L678" s="110"/>
      <c r="M678" s="110"/>
      <c r="N678" s="110"/>
      <c r="O678" s="110"/>
      <c r="P678" s="111"/>
      <c r="Q678" s="112"/>
      <c r="R678" s="112"/>
    </row>
    <row r="679" spans="5:18" customFormat="1" x14ac:dyDescent="0.3">
      <c r="E679" s="108"/>
      <c r="F679" s="109"/>
      <c r="G679" s="109"/>
      <c r="H679" s="109"/>
      <c r="I679" s="109"/>
      <c r="J679" s="110"/>
      <c r="K679" s="110"/>
      <c r="L679" s="110"/>
      <c r="M679" s="110"/>
      <c r="N679" s="110"/>
      <c r="O679" s="110"/>
      <c r="P679" s="111"/>
      <c r="Q679" s="112"/>
      <c r="R679" s="112"/>
    </row>
    <row r="680" spans="5:18" customFormat="1" x14ac:dyDescent="0.3">
      <c r="E680" s="108"/>
      <c r="F680" s="109"/>
      <c r="G680" s="109"/>
      <c r="H680" s="109"/>
      <c r="I680" s="109"/>
      <c r="J680" s="110"/>
      <c r="K680" s="110"/>
      <c r="L680" s="110"/>
      <c r="M680" s="110"/>
      <c r="N680" s="110"/>
      <c r="O680" s="110"/>
      <c r="P680" s="111"/>
      <c r="Q680" s="112"/>
      <c r="R680" s="112"/>
    </row>
    <row r="681" spans="5:18" customFormat="1" x14ac:dyDescent="0.3">
      <c r="E681" s="108"/>
      <c r="F681" s="109"/>
      <c r="G681" s="109"/>
      <c r="H681" s="109"/>
      <c r="I681" s="109"/>
      <c r="J681" s="110"/>
      <c r="K681" s="110"/>
      <c r="L681" s="110"/>
      <c r="M681" s="110"/>
      <c r="N681" s="110"/>
      <c r="O681" s="110"/>
      <c r="P681" s="111"/>
      <c r="Q681" s="112"/>
      <c r="R681" s="112"/>
    </row>
    <row r="682" spans="5:18" customFormat="1" x14ac:dyDescent="0.3">
      <c r="E682" s="108"/>
      <c r="F682" s="109"/>
      <c r="G682" s="109"/>
      <c r="H682" s="109"/>
      <c r="I682" s="109"/>
      <c r="J682" s="110"/>
      <c r="K682" s="110"/>
      <c r="L682" s="110"/>
      <c r="M682" s="110"/>
      <c r="N682" s="110"/>
      <c r="O682" s="110"/>
      <c r="P682" s="111"/>
      <c r="Q682" s="112"/>
      <c r="R682" s="112"/>
    </row>
    <row r="683" spans="5:18" customFormat="1" x14ac:dyDescent="0.3">
      <c r="E683" s="108"/>
      <c r="F683" s="109"/>
      <c r="G683" s="109"/>
      <c r="H683" s="109"/>
      <c r="I683" s="109"/>
      <c r="J683" s="110"/>
      <c r="K683" s="110"/>
      <c r="L683" s="110"/>
      <c r="M683" s="110"/>
      <c r="N683" s="110"/>
      <c r="O683" s="110"/>
      <c r="P683" s="111"/>
      <c r="Q683" s="112"/>
      <c r="R683" s="112"/>
    </row>
    <row r="684" spans="5:18" customFormat="1" x14ac:dyDescent="0.3">
      <c r="E684" s="108"/>
      <c r="F684" s="109"/>
      <c r="G684" s="109"/>
      <c r="H684" s="109"/>
      <c r="I684" s="109"/>
      <c r="J684" s="110"/>
      <c r="K684" s="110"/>
      <c r="L684" s="110"/>
      <c r="M684" s="110"/>
      <c r="N684" s="110"/>
      <c r="O684" s="110"/>
      <c r="P684" s="111"/>
      <c r="Q684" s="112"/>
      <c r="R684" s="112"/>
    </row>
    <row r="685" spans="5:18" customFormat="1" x14ac:dyDescent="0.3">
      <c r="E685" s="108"/>
      <c r="F685" s="109"/>
      <c r="G685" s="109"/>
      <c r="H685" s="109"/>
      <c r="I685" s="109"/>
      <c r="J685" s="110"/>
      <c r="K685" s="110"/>
      <c r="L685" s="110"/>
      <c r="M685" s="110"/>
      <c r="N685" s="110"/>
      <c r="O685" s="110"/>
      <c r="P685" s="111"/>
      <c r="Q685" s="112"/>
      <c r="R685" s="112"/>
    </row>
    <row r="686" spans="5:18" customFormat="1" x14ac:dyDescent="0.3">
      <c r="E686" s="108"/>
      <c r="F686" s="109"/>
      <c r="G686" s="109"/>
      <c r="H686" s="109"/>
      <c r="I686" s="109"/>
      <c r="J686" s="110"/>
      <c r="K686" s="110"/>
      <c r="L686" s="110"/>
      <c r="M686" s="110"/>
      <c r="N686" s="110"/>
      <c r="O686" s="110"/>
      <c r="P686" s="111"/>
      <c r="Q686" s="112"/>
      <c r="R686" s="112"/>
    </row>
    <row r="687" spans="5:18" customFormat="1" x14ac:dyDescent="0.3">
      <c r="E687" s="108"/>
      <c r="F687" s="109"/>
      <c r="G687" s="109"/>
      <c r="H687" s="109"/>
      <c r="I687" s="109"/>
      <c r="J687" s="110"/>
      <c r="K687" s="110"/>
      <c r="L687" s="110"/>
      <c r="M687" s="110"/>
      <c r="N687" s="110"/>
      <c r="O687" s="110"/>
      <c r="P687" s="111"/>
      <c r="Q687" s="112"/>
      <c r="R687" s="112"/>
    </row>
    <row r="688" spans="5:18" customFormat="1" x14ac:dyDescent="0.3">
      <c r="E688" s="108"/>
      <c r="F688" s="109"/>
      <c r="G688" s="109"/>
      <c r="H688" s="109"/>
      <c r="I688" s="109"/>
      <c r="J688" s="110"/>
      <c r="K688" s="110"/>
      <c r="L688" s="110"/>
      <c r="M688" s="110"/>
      <c r="N688" s="110"/>
      <c r="O688" s="110"/>
      <c r="P688" s="111"/>
      <c r="Q688" s="112"/>
      <c r="R688" s="112"/>
    </row>
    <row r="689" spans="5:18" customFormat="1" x14ac:dyDescent="0.3">
      <c r="E689" s="108"/>
      <c r="F689" s="109"/>
      <c r="G689" s="109"/>
      <c r="H689" s="109"/>
      <c r="I689" s="109"/>
      <c r="J689" s="110"/>
      <c r="K689" s="110"/>
      <c r="L689" s="110"/>
      <c r="M689" s="110"/>
      <c r="N689" s="110"/>
      <c r="O689" s="110"/>
      <c r="P689" s="111"/>
      <c r="Q689" s="112"/>
      <c r="R689" s="112"/>
    </row>
    <row r="690" spans="5:18" customFormat="1" x14ac:dyDescent="0.3">
      <c r="E690" s="108"/>
      <c r="F690" s="109"/>
      <c r="G690" s="109"/>
      <c r="H690" s="109"/>
      <c r="I690" s="109"/>
      <c r="J690" s="110"/>
      <c r="K690" s="110"/>
      <c r="L690" s="110"/>
      <c r="M690" s="110"/>
      <c r="N690" s="110"/>
      <c r="O690" s="110"/>
      <c r="P690" s="111"/>
      <c r="Q690" s="112"/>
      <c r="R690" s="112"/>
    </row>
    <row r="691" spans="5:18" customFormat="1" x14ac:dyDescent="0.3">
      <c r="E691" s="108"/>
      <c r="F691" s="109"/>
      <c r="G691" s="109"/>
      <c r="H691" s="109"/>
      <c r="I691" s="109"/>
      <c r="J691" s="110"/>
      <c r="K691" s="110"/>
      <c r="L691" s="110"/>
      <c r="M691" s="110"/>
      <c r="N691" s="110"/>
      <c r="O691" s="110"/>
      <c r="P691" s="111"/>
      <c r="Q691" s="112"/>
      <c r="R691" s="112"/>
    </row>
    <row r="692" spans="5:18" customFormat="1" x14ac:dyDescent="0.3">
      <c r="E692" s="108"/>
      <c r="F692" s="109"/>
      <c r="G692" s="109"/>
      <c r="H692" s="109"/>
      <c r="I692" s="109"/>
      <c r="J692" s="110"/>
      <c r="K692" s="110"/>
      <c r="L692" s="110"/>
      <c r="M692" s="110"/>
      <c r="N692" s="110"/>
      <c r="O692" s="110"/>
      <c r="P692" s="111"/>
      <c r="Q692" s="112"/>
      <c r="R692" s="112"/>
    </row>
    <row r="693" spans="5:18" customFormat="1" x14ac:dyDescent="0.3">
      <c r="E693" s="108"/>
      <c r="F693" s="109"/>
      <c r="G693" s="109"/>
      <c r="H693" s="109"/>
      <c r="I693" s="109"/>
      <c r="J693" s="110"/>
      <c r="K693" s="110"/>
      <c r="L693" s="110"/>
      <c r="M693" s="110"/>
      <c r="N693" s="110"/>
      <c r="O693" s="110"/>
      <c r="P693" s="111"/>
      <c r="Q693" s="112"/>
      <c r="R693" s="112"/>
    </row>
    <row r="694" spans="5:18" customFormat="1" x14ac:dyDescent="0.3">
      <c r="E694" s="108"/>
      <c r="F694" s="109"/>
      <c r="G694" s="109"/>
      <c r="H694" s="109"/>
      <c r="I694" s="109"/>
      <c r="J694" s="110"/>
      <c r="K694" s="110"/>
      <c r="L694" s="110"/>
      <c r="M694" s="110"/>
      <c r="N694" s="110"/>
      <c r="O694" s="110"/>
      <c r="P694" s="111"/>
      <c r="Q694" s="112"/>
      <c r="R694" s="112"/>
    </row>
    <row r="695" spans="5:18" customFormat="1" x14ac:dyDescent="0.3">
      <c r="E695" s="108"/>
      <c r="F695" s="109"/>
      <c r="G695" s="109"/>
      <c r="H695" s="109"/>
      <c r="I695" s="109"/>
      <c r="J695" s="110"/>
      <c r="K695" s="110"/>
      <c r="L695" s="110"/>
      <c r="M695" s="110"/>
      <c r="N695" s="110"/>
      <c r="O695" s="110"/>
      <c r="P695" s="111"/>
      <c r="Q695" s="112"/>
      <c r="R695" s="112"/>
    </row>
    <row r="696" spans="5:18" customFormat="1" x14ac:dyDescent="0.3">
      <c r="E696" s="108"/>
      <c r="F696" s="109"/>
      <c r="G696" s="109"/>
      <c r="H696" s="109"/>
      <c r="I696" s="109"/>
      <c r="J696" s="110"/>
      <c r="K696" s="110"/>
      <c r="L696" s="110"/>
      <c r="M696" s="110"/>
      <c r="N696" s="110"/>
      <c r="O696" s="110"/>
      <c r="P696" s="111"/>
      <c r="Q696" s="112"/>
      <c r="R696" s="112"/>
    </row>
    <row r="697" spans="5:18" customFormat="1" x14ac:dyDescent="0.3">
      <c r="E697" s="108"/>
      <c r="F697" s="109"/>
      <c r="G697" s="109"/>
      <c r="H697" s="109"/>
      <c r="I697" s="109"/>
      <c r="J697" s="110"/>
      <c r="K697" s="110"/>
      <c r="L697" s="110"/>
      <c r="M697" s="110"/>
      <c r="N697" s="110"/>
      <c r="O697" s="110"/>
      <c r="P697" s="111"/>
      <c r="Q697" s="112"/>
      <c r="R697" s="112"/>
    </row>
    <row r="698" spans="5:18" customFormat="1" x14ac:dyDescent="0.3">
      <c r="E698" s="108"/>
      <c r="F698" s="109"/>
      <c r="G698" s="109"/>
      <c r="H698" s="109"/>
      <c r="I698" s="109"/>
      <c r="J698" s="110"/>
      <c r="K698" s="110"/>
      <c r="L698" s="110"/>
      <c r="M698" s="110"/>
      <c r="N698" s="110"/>
      <c r="O698" s="110"/>
      <c r="P698" s="111"/>
      <c r="Q698" s="112"/>
      <c r="R698" s="112"/>
    </row>
    <row r="699" spans="5:18" customFormat="1" x14ac:dyDescent="0.3">
      <c r="E699" s="108"/>
      <c r="F699" s="109"/>
      <c r="G699" s="109"/>
      <c r="H699" s="109"/>
      <c r="I699" s="109"/>
      <c r="J699" s="110"/>
      <c r="K699" s="110"/>
      <c r="L699" s="110"/>
      <c r="M699" s="110"/>
      <c r="N699" s="110"/>
      <c r="O699" s="110"/>
      <c r="P699" s="111"/>
      <c r="Q699" s="112"/>
      <c r="R699" s="112"/>
    </row>
    <row r="700" spans="5:18" customFormat="1" x14ac:dyDescent="0.3">
      <c r="E700" s="108"/>
      <c r="F700" s="109"/>
      <c r="G700" s="109"/>
      <c r="H700" s="109"/>
      <c r="I700" s="109"/>
      <c r="J700" s="110"/>
      <c r="K700" s="110"/>
      <c r="L700" s="110"/>
      <c r="M700" s="110"/>
      <c r="N700" s="110"/>
      <c r="O700" s="110"/>
      <c r="P700" s="111"/>
      <c r="Q700" s="112"/>
      <c r="R700" s="112"/>
    </row>
    <row r="701" spans="5:18" customFormat="1" x14ac:dyDescent="0.3">
      <c r="E701" s="108"/>
      <c r="F701" s="109"/>
      <c r="G701" s="109"/>
      <c r="H701" s="109"/>
      <c r="I701" s="109"/>
      <c r="J701" s="110"/>
      <c r="K701" s="110"/>
      <c r="L701" s="110"/>
      <c r="M701" s="110"/>
      <c r="N701" s="110"/>
      <c r="O701" s="110"/>
      <c r="P701" s="111"/>
      <c r="Q701" s="112"/>
      <c r="R701" s="112"/>
    </row>
    <row r="702" spans="5:18" customFormat="1" x14ac:dyDescent="0.3">
      <c r="E702" s="108"/>
      <c r="F702" s="109"/>
      <c r="G702" s="109"/>
      <c r="H702" s="109"/>
      <c r="I702" s="109"/>
      <c r="J702" s="110"/>
      <c r="K702" s="110"/>
      <c r="L702" s="110"/>
      <c r="M702" s="110"/>
      <c r="N702" s="110"/>
      <c r="O702" s="110"/>
      <c r="P702" s="111"/>
      <c r="Q702" s="112"/>
      <c r="R702" s="112"/>
    </row>
    <row r="703" spans="5:18" customFormat="1" x14ac:dyDescent="0.3">
      <c r="E703" s="108"/>
      <c r="F703" s="109"/>
      <c r="G703" s="109"/>
      <c r="H703" s="109"/>
      <c r="I703" s="109"/>
      <c r="J703" s="110"/>
      <c r="K703" s="110"/>
      <c r="L703" s="110"/>
      <c r="M703" s="110"/>
      <c r="N703" s="110"/>
      <c r="O703" s="110"/>
      <c r="P703" s="111"/>
      <c r="Q703" s="112"/>
      <c r="R703" s="112"/>
    </row>
    <row r="704" spans="5:18" customFormat="1" x14ac:dyDescent="0.3">
      <c r="E704" s="108"/>
      <c r="F704" s="109"/>
      <c r="G704" s="109"/>
      <c r="H704" s="109"/>
      <c r="I704" s="109"/>
      <c r="J704" s="110"/>
      <c r="K704" s="110"/>
      <c r="L704" s="110"/>
      <c r="M704" s="110"/>
      <c r="N704" s="110"/>
      <c r="O704" s="110"/>
      <c r="P704" s="111"/>
      <c r="Q704" s="112"/>
      <c r="R704" s="112"/>
    </row>
    <row r="705" spans="5:18" customFormat="1" x14ac:dyDescent="0.3">
      <c r="E705" s="108"/>
      <c r="F705" s="109"/>
      <c r="G705" s="109"/>
      <c r="H705" s="109"/>
      <c r="I705" s="109"/>
      <c r="J705" s="110"/>
      <c r="K705" s="110"/>
      <c r="L705" s="110"/>
      <c r="M705" s="110"/>
      <c r="N705" s="110"/>
      <c r="O705" s="110"/>
      <c r="P705" s="111"/>
      <c r="Q705" s="112"/>
      <c r="R705" s="112"/>
    </row>
    <row r="706" spans="5:18" customFormat="1" x14ac:dyDescent="0.3">
      <c r="E706" s="108"/>
      <c r="F706" s="109"/>
      <c r="G706" s="109"/>
      <c r="H706" s="109"/>
      <c r="I706" s="109"/>
      <c r="J706" s="110"/>
      <c r="K706" s="110"/>
      <c r="L706" s="110"/>
      <c r="M706" s="110"/>
      <c r="N706" s="110"/>
      <c r="O706" s="110"/>
      <c r="P706" s="111"/>
      <c r="Q706" s="112"/>
      <c r="R706" s="112"/>
    </row>
    <row r="707" spans="5:18" customFormat="1" x14ac:dyDescent="0.3">
      <c r="E707" s="108"/>
      <c r="F707" s="109"/>
      <c r="G707" s="109"/>
      <c r="H707" s="109"/>
      <c r="I707" s="109"/>
      <c r="J707" s="110"/>
      <c r="K707" s="110"/>
      <c r="L707" s="110"/>
      <c r="M707" s="110"/>
      <c r="N707" s="110"/>
      <c r="O707" s="110"/>
      <c r="P707" s="111"/>
      <c r="Q707" s="112"/>
      <c r="R707" s="112"/>
    </row>
    <row r="708" spans="5:18" customFormat="1" x14ac:dyDescent="0.3">
      <c r="E708" s="108"/>
      <c r="F708" s="109"/>
      <c r="G708" s="109"/>
      <c r="H708" s="109"/>
      <c r="I708" s="109"/>
      <c r="J708" s="110"/>
      <c r="K708" s="110"/>
      <c r="L708" s="110"/>
      <c r="M708" s="110"/>
      <c r="N708" s="110"/>
      <c r="O708" s="110"/>
      <c r="P708" s="111"/>
      <c r="Q708" s="112"/>
      <c r="R708" s="112"/>
    </row>
    <row r="709" spans="5:18" customFormat="1" x14ac:dyDescent="0.3">
      <c r="E709" s="108"/>
      <c r="F709" s="109"/>
      <c r="G709" s="109"/>
      <c r="H709" s="109"/>
      <c r="I709" s="109"/>
      <c r="J709" s="110"/>
      <c r="K709" s="110"/>
      <c r="L709" s="110"/>
      <c r="M709" s="110"/>
      <c r="N709" s="110"/>
      <c r="O709" s="110"/>
      <c r="P709" s="111"/>
      <c r="Q709" s="112"/>
      <c r="R709" s="112"/>
    </row>
    <row r="710" spans="5:18" customFormat="1" x14ac:dyDescent="0.3">
      <c r="E710" s="108"/>
      <c r="F710" s="109"/>
      <c r="G710" s="109"/>
      <c r="H710" s="109"/>
      <c r="I710" s="109"/>
      <c r="J710" s="110"/>
      <c r="K710" s="110"/>
      <c r="L710" s="110"/>
      <c r="M710" s="110"/>
      <c r="N710" s="110"/>
      <c r="O710" s="110"/>
      <c r="P710" s="111"/>
      <c r="Q710" s="112"/>
      <c r="R710" s="112"/>
    </row>
    <row r="711" spans="5:18" customFormat="1" x14ac:dyDescent="0.3">
      <c r="E711" s="108"/>
      <c r="F711" s="109"/>
      <c r="G711" s="109"/>
      <c r="H711" s="109"/>
      <c r="I711" s="109"/>
      <c r="J711" s="110"/>
      <c r="K711" s="110"/>
      <c r="L711" s="110"/>
      <c r="M711" s="110"/>
      <c r="N711" s="110"/>
      <c r="O711" s="110"/>
      <c r="P711" s="111"/>
      <c r="Q711" s="112"/>
      <c r="R711" s="112"/>
    </row>
    <row r="712" spans="5:18" customFormat="1" x14ac:dyDescent="0.3">
      <c r="E712" s="108"/>
      <c r="F712" s="109"/>
      <c r="G712" s="109"/>
      <c r="H712" s="109"/>
      <c r="I712" s="109"/>
      <c r="J712" s="110"/>
      <c r="K712" s="110"/>
      <c r="L712" s="110"/>
      <c r="M712" s="110"/>
      <c r="N712" s="110"/>
      <c r="O712" s="110"/>
      <c r="P712" s="111"/>
      <c r="Q712" s="112"/>
      <c r="R712" s="112"/>
    </row>
    <row r="713" spans="5:18" customFormat="1" x14ac:dyDescent="0.3">
      <c r="E713" s="108"/>
      <c r="F713" s="109"/>
      <c r="G713" s="109"/>
      <c r="H713" s="109"/>
      <c r="I713" s="109"/>
      <c r="J713" s="110"/>
      <c r="K713" s="110"/>
      <c r="L713" s="110"/>
      <c r="M713" s="110"/>
      <c r="N713" s="110"/>
      <c r="O713" s="110"/>
      <c r="P713" s="111"/>
      <c r="Q713" s="112"/>
      <c r="R713" s="112"/>
    </row>
    <row r="714" spans="5:18" customFormat="1" x14ac:dyDescent="0.3">
      <c r="E714" s="108"/>
      <c r="F714" s="109"/>
      <c r="G714" s="109"/>
      <c r="H714" s="109"/>
      <c r="I714" s="109"/>
      <c r="J714" s="110"/>
      <c r="K714" s="110"/>
      <c r="L714" s="110"/>
      <c r="M714" s="110"/>
      <c r="N714" s="110"/>
      <c r="O714" s="110"/>
      <c r="P714" s="111"/>
      <c r="Q714" s="112"/>
      <c r="R714" s="112"/>
    </row>
    <row r="715" spans="5:18" customFormat="1" x14ac:dyDescent="0.3">
      <c r="E715" s="108"/>
      <c r="F715" s="109"/>
      <c r="G715" s="109"/>
      <c r="H715" s="109"/>
      <c r="I715" s="109"/>
      <c r="J715" s="110"/>
      <c r="K715" s="110"/>
      <c r="L715" s="110"/>
      <c r="M715" s="110"/>
      <c r="N715" s="110"/>
      <c r="O715" s="110"/>
      <c r="P715" s="111"/>
      <c r="Q715" s="112"/>
      <c r="R715" s="112"/>
    </row>
    <row r="716" spans="5:18" customFormat="1" x14ac:dyDescent="0.3">
      <c r="E716" s="108"/>
      <c r="F716" s="109"/>
      <c r="G716" s="109"/>
      <c r="H716" s="109"/>
      <c r="I716" s="109"/>
      <c r="J716" s="110"/>
      <c r="K716" s="110"/>
      <c r="L716" s="110"/>
      <c r="M716" s="110"/>
      <c r="N716" s="110"/>
      <c r="O716" s="110"/>
      <c r="P716" s="111"/>
      <c r="Q716" s="112"/>
      <c r="R716" s="112"/>
    </row>
    <row r="717" spans="5:18" customFormat="1" x14ac:dyDescent="0.3">
      <c r="E717" s="108"/>
      <c r="F717" s="109"/>
      <c r="G717" s="109"/>
      <c r="H717" s="109"/>
      <c r="I717" s="109"/>
      <c r="J717" s="110"/>
      <c r="K717" s="110"/>
      <c r="L717" s="110"/>
      <c r="M717" s="110"/>
      <c r="N717" s="110"/>
      <c r="O717" s="110"/>
      <c r="P717" s="111"/>
      <c r="Q717" s="112"/>
      <c r="R717" s="112"/>
    </row>
    <row r="718" spans="5:18" customFormat="1" x14ac:dyDescent="0.3">
      <c r="E718" s="108"/>
      <c r="F718" s="109"/>
      <c r="G718" s="109"/>
      <c r="H718" s="109"/>
      <c r="I718" s="109"/>
      <c r="J718" s="110"/>
      <c r="K718" s="110"/>
      <c r="L718" s="110"/>
      <c r="M718" s="110"/>
      <c r="N718" s="110"/>
      <c r="O718" s="110"/>
      <c r="P718" s="111"/>
      <c r="Q718" s="112"/>
      <c r="R718" s="112"/>
    </row>
    <row r="719" spans="5:18" customFormat="1" x14ac:dyDescent="0.3">
      <c r="E719" s="108"/>
      <c r="F719" s="109"/>
      <c r="G719" s="109"/>
      <c r="H719" s="109"/>
      <c r="I719" s="109"/>
      <c r="J719" s="110"/>
      <c r="K719" s="110"/>
      <c r="L719" s="110"/>
      <c r="M719" s="110"/>
      <c r="N719" s="110"/>
      <c r="O719" s="110"/>
      <c r="P719" s="111"/>
      <c r="Q719" s="112"/>
      <c r="R719" s="112"/>
    </row>
    <row r="720" spans="5:18" customFormat="1" x14ac:dyDescent="0.3">
      <c r="E720" s="108"/>
      <c r="F720" s="109"/>
      <c r="G720" s="109"/>
      <c r="H720" s="109"/>
      <c r="I720" s="109"/>
      <c r="J720" s="110"/>
      <c r="K720" s="110"/>
      <c r="L720" s="110"/>
      <c r="M720" s="110"/>
      <c r="N720" s="110"/>
      <c r="O720" s="110"/>
      <c r="P720" s="111"/>
      <c r="Q720" s="112"/>
      <c r="R720" s="112"/>
    </row>
    <row r="721" spans="5:18" customFormat="1" x14ac:dyDescent="0.3">
      <c r="E721" s="108"/>
      <c r="F721" s="109"/>
      <c r="G721" s="109"/>
      <c r="H721" s="109"/>
      <c r="I721" s="109"/>
      <c r="J721" s="110"/>
      <c r="K721" s="110"/>
      <c r="L721" s="110"/>
      <c r="M721" s="110"/>
      <c r="N721" s="110"/>
      <c r="O721" s="110"/>
      <c r="P721" s="111"/>
      <c r="Q721" s="112"/>
      <c r="R721" s="112"/>
    </row>
    <row r="722" spans="5:18" customFormat="1" x14ac:dyDescent="0.3">
      <c r="E722" s="108"/>
      <c r="F722" s="109"/>
      <c r="G722" s="109"/>
      <c r="H722" s="109"/>
      <c r="I722" s="109"/>
      <c r="J722" s="110"/>
      <c r="K722" s="110"/>
      <c r="L722" s="110"/>
      <c r="M722" s="110"/>
      <c r="N722" s="110"/>
      <c r="O722" s="110"/>
      <c r="P722" s="111"/>
      <c r="Q722" s="112"/>
      <c r="R722" s="112"/>
    </row>
    <row r="723" spans="5:18" customFormat="1" x14ac:dyDescent="0.3">
      <c r="E723" s="108"/>
      <c r="F723" s="109"/>
      <c r="G723" s="109"/>
      <c r="H723" s="109"/>
      <c r="I723" s="109"/>
      <c r="J723" s="110"/>
      <c r="K723" s="110"/>
      <c r="L723" s="110"/>
      <c r="M723" s="110"/>
      <c r="N723" s="110"/>
      <c r="O723" s="110"/>
      <c r="P723" s="111"/>
      <c r="Q723" s="112"/>
      <c r="R723" s="112"/>
    </row>
    <row r="724" spans="5:18" customFormat="1" x14ac:dyDescent="0.3">
      <c r="E724" s="108"/>
      <c r="F724" s="109"/>
      <c r="G724" s="109"/>
      <c r="H724" s="109"/>
      <c r="I724" s="109"/>
      <c r="J724" s="110"/>
      <c r="K724" s="110"/>
      <c r="L724" s="110"/>
      <c r="M724" s="110"/>
      <c r="N724" s="110"/>
      <c r="O724" s="110"/>
      <c r="P724" s="111"/>
      <c r="Q724" s="112"/>
      <c r="R724" s="112"/>
    </row>
    <row r="725" spans="5:18" customFormat="1" x14ac:dyDescent="0.3">
      <c r="E725" s="108"/>
      <c r="F725" s="109"/>
      <c r="G725" s="109"/>
      <c r="H725" s="109"/>
      <c r="I725" s="109"/>
      <c r="J725" s="110"/>
      <c r="K725" s="110"/>
      <c r="L725" s="110"/>
      <c r="M725" s="110"/>
      <c r="N725" s="110"/>
      <c r="O725" s="110"/>
      <c r="P725" s="111"/>
      <c r="Q725" s="112"/>
      <c r="R725" s="112"/>
    </row>
    <row r="726" spans="5:18" customFormat="1" x14ac:dyDescent="0.3">
      <c r="E726" s="108"/>
      <c r="F726" s="109"/>
      <c r="G726" s="109"/>
      <c r="H726" s="109"/>
      <c r="I726" s="109"/>
      <c r="J726" s="110"/>
      <c r="K726" s="110"/>
      <c r="L726" s="110"/>
      <c r="M726" s="110"/>
      <c r="N726" s="110"/>
      <c r="O726" s="110"/>
      <c r="P726" s="111"/>
      <c r="Q726" s="112"/>
      <c r="R726" s="112"/>
    </row>
    <row r="727" spans="5:18" customFormat="1" x14ac:dyDescent="0.3">
      <c r="E727" s="108"/>
      <c r="F727" s="109"/>
      <c r="G727" s="109"/>
      <c r="H727" s="109"/>
      <c r="I727" s="109"/>
      <c r="J727" s="110"/>
      <c r="K727" s="110"/>
      <c r="L727" s="110"/>
      <c r="M727" s="110"/>
      <c r="N727" s="110"/>
      <c r="O727" s="110"/>
      <c r="P727" s="111"/>
      <c r="Q727" s="112"/>
      <c r="R727" s="112"/>
    </row>
    <row r="728" spans="5:18" customFormat="1" x14ac:dyDescent="0.3">
      <c r="E728" s="108"/>
      <c r="F728" s="109"/>
      <c r="G728" s="109"/>
      <c r="H728" s="109"/>
      <c r="I728" s="109"/>
      <c r="J728" s="110"/>
      <c r="K728" s="110"/>
      <c r="L728" s="110"/>
      <c r="M728" s="110"/>
      <c r="N728" s="110"/>
      <c r="O728" s="110"/>
      <c r="P728" s="111"/>
      <c r="Q728" s="112"/>
      <c r="R728" s="112"/>
    </row>
    <row r="729" spans="5:18" customFormat="1" x14ac:dyDescent="0.3">
      <c r="E729" s="108"/>
      <c r="F729" s="109"/>
      <c r="G729" s="109"/>
      <c r="H729" s="109"/>
      <c r="I729" s="109"/>
      <c r="J729" s="110"/>
      <c r="K729" s="110"/>
      <c r="L729" s="110"/>
      <c r="M729" s="110"/>
      <c r="N729" s="110"/>
      <c r="O729" s="110"/>
      <c r="P729" s="111"/>
      <c r="Q729" s="112"/>
      <c r="R729" s="112"/>
    </row>
    <row r="730" spans="5:18" customFormat="1" x14ac:dyDescent="0.3">
      <c r="E730" s="108"/>
      <c r="F730" s="109"/>
      <c r="G730" s="109"/>
      <c r="H730" s="109"/>
      <c r="I730" s="109"/>
      <c r="J730" s="110"/>
      <c r="K730" s="110"/>
      <c r="L730" s="110"/>
      <c r="M730" s="110"/>
      <c r="N730" s="110"/>
      <c r="O730" s="110"/>
      <c r="P730" s="111"/>
      <c r="Q730" s="112"/>
      <c r="R730" s="112"/>
    </row>
    <row r="731" spans="5:18" customFormat="1" x14ac:dyDescent="0.3">
      <c r="E731" s="108"/>
      <c r="F731" s="109"/>
      <c r="G731" s="109"/>
      <c r="H731" s="109"/>
      <c r="I731" s="109"/>
      <c r="J731" s="110"/>
      <c r="K731" s="110"/>
      <c r="L731" s="110"/>
      <c r="M731" s="110"/>
      <c r="N731" s="110"/>
      <c r="O731" s="110"/>
      <c r="P731" s="111"/>
      <c r="Q731" s="112"/>
      <c r="R731" s="112"/>
    </row>
    <row r="732" spans="5:18" customFormat="1" x14ac:dyDescent="0.3">
      <c r="E732" s="108"/>
      <c r="F732" s="109"/>
      <c r="G732" s="109"/>
      <c r="H732" s="109"/>
      <c r="I732" s="109"/>
      <c r="J732" s="110"/>
      <c r="K732" s="110"/>
      <c r="L732" s="110"/>
      <c r="M732" s="110"/>
      <c r="N732" s="110"/>
      <c r="O732" s="110"/>
      <c r="P732" s="111"/>
      <c r="Q732" s="112"/>
      <c r="R732" s="112"/>
    </row>
    <row r="733" spans="5:18" customFormat="1" x14ac:dyDescent="0.3">
      <c r="E733" s="108"/>
      <c r="F733" s="109"/>
      <c r="G733" s="109"/>
      <c r="H733" s="109"/>
      <c r="I733" s="109"/>
      <c r="J733" s="110"/>
      <c r="K733" s="110"/>
      <c r="L733" s="110"/>
      <c r="M733" s="110"/>
      <c r="N733" s="110"/>
      <c r="O733" s="110"/>
      <c r="P733" s="111"/>
      <c r="Q733" s="112"/>
      <c r="R733" s="112"/>
    </row>
    <row r="734" spans="5:18" customFormat="1" x14ac:dyDescent="0.3">
      <c r="E734" s="108"/>
      <c r="F734" s="109"/>
      <c r="G734" s="109"/>
      <c r="H734" s="109"/>
      <c r="I734" s="109"/>
      <c r="J734" s="110"/>
      <c r="K734" s="110"/>
      <c r="L734" s="110"/>
      <c r="M734" s="110"/>
      <c r="N734" s="110"/>
      <c r="O734" s="110"/>
      <c r="P734" s="111"/>
      <c r="Q734" s="112"/>
      <c r="R734" s="112"/>
    </row>
    <row r="735" spans="5:18" customFormat="1" x14ac:dyDescent="0.3">
      <c r="E735" s="108"/>
      <c r="F735" s="109"/>
      <c r="G735" s="109"/>
      <c r="H735" s="109"/>
      <c r="I735" s="109"/>
      <c r="J735" s="110"/>
      <c r="K735" s="110"/>
      <c r="L735" s="110"/>
      <c r="M735" s="110"/>
      <c r="N735" s="110"/>
      <c r="O735" s="110"/>
      <c r="P735" s="111"/>
      <c r="Q735" s="112"/>
      <c r="R735" s="112"/>
    </row>
    <row r="736" spans="5:18" customFormat="1" x14ac:dyDescent="0.3">
      <c r="E736" s="108"/>
      <c r="F736" s="109"/>
      <c r="G736" s="109"/>
      <c r="H736" s="109"/>
      <c r="I736" s="109"/>
      <c r="J736" s="110"/>
      <c r="K736" s="110"/>
      <c r="L736" s="110"/>
      <c r="M736" s="110"/>
      <c r="N736" s="110"/>
      <c r="O736" s="110"/>
      <c r="P736" s="111"/>
      <c r="Q736" s="112"/>
      <c r="R736" s="112"/>
    </row>
    <row r="737" spans="5:18" customFormat="1" x14ac:dyDescent="0.3">
      <c r="E737" s="108"/>
      <c r="F737" s="109"/>
      <c r="G737" s="109"/>
      <c r="H737" s="109"/>
      <c r="I737" s="109"/>
      <c r="J737" s="110"/>
      <c r="K737" s="110"/>
      <c r="L737" s="110"/>
      <c r="M737" s="110"/>
      <c r="N737" s="110"/>
      <c r="O737" s="110"/>
      <c r="P737" s="111"/>
      <c r="Q737" s="112"/>
      <c r="R737" s="112"/>
    </row>
    <row r="738" spans="5:18" customFormat="1" x14ac:dyDescent="0.3">
      <c r="E738" s="108"/>
      <c r="F738" s="109"/>
      <c r="G738" s="109"/>
      <c r="H738" s="109"/>
      <c r="I738" s="109"/>
      <c r="J738" s="110"/>
      <c r="K738" s="110"/>
      <c r="L738" s="110"/>
      <c r="M738" s="110"/>
      <c r="N738" s="110"/>
      <c r="O738" s="110"/>
      <c r="P738" s="111"/>
      <c r="Q738" s="112"/>
      <c r="R738" s="112"/>
    </row>
    <row r="739" spans="5:18" customFormat="1" x14ac:dyDescent="0.3">
      <c r="E739" s="108"/>
      <c r="F739" s="109"/>
      <c r="G739" s="109"/>
      <c r="H739" s="109"/>
      <c r="I739" s="109"/>
      <c r="J739" s="110"/>
      <c r="K739" s="110"/>
      <c r="L739" s="110"/>
      <c r="M739" s="110"/>
      <c r="N739" s="110"/>
      <c r="O739" s="110"/>
      <c r="P739" s="111"/>
      <c r="Q739" s="112"/>
      <c r="R739" s="112"/>
    </row>
    <row r="740" spans="5:18" customFormat="1" x14ac:dyDescent="0.3">
      <c r="E740" s="108"/>
      <c r="F740" s="109"/>
      <c r="G740" s="109"/>
      <c r="H740" s="109"/>
      <c r="I740" s="109"/>
      <c r="J740" s="110"/>
      <c r="K740" s="110"/>
      <c r="L740" s="110"/>
      <c r="M740" s="110"/>
      <c r="N740" s="110"/>
      <c r="O740" s="110"/>
      <c r="P740" s="111"/>
      <c r="Q740" s="112"/>
      <c r="R740" s="112"/>
    </row>
    <row r="741" spans="5:18" customFormat="1" x14ac:dyDescent="0.3">
      <c r="E741" s="108"/>
      <c r="F741" s="109"/>
      <c r="G741" s="109"/>
      <c r="H741" s="109"/>
      <c r="I741" s="109"/>
      <c r="J741" s="110"/>
      <c r="K741" s="110"/>
      <c r="L741" s="110"/>
      <c r="M741" s="110"/>
      <c r="N741" s="110"/>
      <c r="O741" s="110"/>
      <c r="P741" s="111"/>
      <c r="Q741" s="112"/>
      <c r="R741" s="112"/>
    </row>
    <row r="742" spans="5:18" customFormat="1" x14ac:dyDescent="0.3">
      <c r="E742" s="108"/>
      <c r="F742" s="109"/>
      <c r="G742" s="109"/>
      <c r="H742" s="109"/>
      <c r="I742" s="109"/>
      <c r="J742" s="110"/>
      <c r="K742" s="110"/>
      <c r="L742" s="110"/>
      <c r="M742" s="110"/>
      <c r="N742" s="110"/>
      <c r="O742" s="110"/>
      <c r="P742" s="111"/>
      <c r="Q742" s="112"/>
      <c r="R742" s="112"/>
    </row>
    <row r="743" spans="5:18" customFormat="1" x14ac:dyDescent="0.3">
      <c r="E743" s="108"/>
      <c r="F743" s="109"/>
      <c r="G743" s="109"/>
      <c r="H743" s="109"/>
      <c r="I743" s="109"/>
      <c r="J743" s="110"/>
      <c r="K743" s="110"/>
      <c r="L743" s="110"/>
      <c r="M743" s="110"/>
      <c r="N743" s="110"/>
      <c r="O743" s="110"/>
      <c r="P743" s="111"/>
      <c r="Q743" s="112"/>
      <c r="R743" s="112"/>
    </row>
    <row r="744" spans="5:18" customFormat="1" x14ac:dyDescent="0.3">
      <c r="E744" s="108"/>
      <c r="F744" s="109"/>
      <c r="G744" s="109"/>
      <c r="H744" s="109"/>
      <c r="I744" s="109"/>
      <c r="J744" s="110"/>
      <c r="K744" s="110"/>
      <c r="L744" s="110"/>
      <c r="M744" s="110"/>
      <c r="N744" s="110"/>
      <c r="O744" s="110"/>
      <c r="P744" s="111"/>
      <c r="Q744" s="112"/>
      <c r="R744" s="112"/>
    </row>
    <row r="745" spans="5:18" customFormat="1" x14ac:dyDescent="0.3">
      <c r="E745" s="108"/>
      <c r="F745" s="109"/>
      <c r="G745" s="109"/>
      <c r="H745" s="109"/>
      <c r="I745" s="109"/>
      <c r="J745" s="110"/>
      <c r="K745" s="110"/>
      <c r="L745" s="110"/>
      <c r="M745" s="110"/>
      <c r="N745" s="110"/>
      <c r="O745" s="110"/>
      <c r="P745" s="111"/>
      <c r="Q745" s="112"/>
      <c r="R745" s="112"/>
    </row>
    <row r="746" spans="5:18" customFormat="1" x14ac:dyDescent="0.3">
      <c r="E746" s="108"/>
      <c r="F746" s="109"/>
      <c r="G746" s="109"/>
      <c r="H746" s="109"/>
      <c r="I746" s="109"/>
      <c r="J746" s="110"/>
      <c r="K746" s="110"/>
      <c r="L746" s="110"/>
      <c r="M746" s="110"/>
      <c r="N746" s="110"/>
      <c r="O746" s="110"/>
      <c r="P746" s="111"/>
      <c r="Q746" s="112"/>
      <c r="R746" s="112"/>
    </row>
    <row r="747" spans="5:18" customFormat="1" x14ac:dyDescent="0.3">
      <c r="E747" s="108"/>
      <c r="F747" s="109"/>
      <c r="G747" s="109"/>
      <c r="H747" s="109"/>
      <c r="I747" s="109"/>
      <c r="J747" s="110"/>
      <c r="K747" s="110"/>
      <c r="L747" s="110"/>
      <c r="M747" s="110"/>
      <c r="N747" s="110"/>
      <c r="O747" s="110"/>
      <c r="P747" s="111"/>
      <c r="Q747" s="112"/>
      <c r="R747" s="112"/>
    </row>
    <row r="748" spans="5:18" customFormat="1" x14ac:dyDescent="0.3">
      <c r="E748" s="108"/>
      <c r="F748" s="109"/>
      <c r="G748" s="109"/>
      <c r="H748" s="109"/>
      <c r="I748" s="109"/>
      <c r="J748" s="110"/>
      <c r="K748" s="110"/>
      <c r="L748" s="110"/>
      <c r="M748" s="110"/>
      <c r="N748" s="110"/>
      <c r="O748" s="110"/>
      <c r="P748" s="111"/>
      <c r="Q748" s="112"/>
      <c r="R748" s="112"/>
    </row>
    <row r="749" spans="5:18" customFormat="1" x14ac:dyDescent="0.3">
      <c r="E749" s="108"/>
      <c r="F749" s="109"/>
      <c r="G749" s="109"/>
      <c r="H749" s="109"/>
      <c r="I749" s="109"/>
      <c r="J749" s="110"/>
      <c r="K749" s="110"/>
      <c r="L749" s="110"/>
      <c r="M749" s="110"/>
      <c r="N749" s="110"/>
      <c r="O749" s="110"/>
      <c r="P749" s="111"/>
      <c r="Q749" s="112"/>
      <c r="R749" s="112"/>
    </row>
    <row r="750" spans="5:18" customFormat="1" x14ac:dyDescent="0.3">
      <c r="E750" s="108"/>
      <c r="F750" s="109"/>
      <c r="G750" s="109"/>
      <c r="H750" s="109"/>
      <c r="I750" s="109"/>
      <c r="J750" s="110"/>
      <c r="K750" s="110"/>
      <c r="L750" s="110"/>
      <c r="M750" s="110"/>
      <c r="N750" s="110"/>
      <c r="O750" s="110"/>
      <c r="P750" s="111"/>
      <c r="Q750" s="112"/>
      <c r="R750" s="112"/>
    </row>
    <row r="751" spans="5:18" customFormat="1" x14ac:dyDescent="0.3">
      <c r="E751" s="108"/>
      <c r="F751" s="109"/>
      <c r="G751" s="109"/>
      <c r="H751" s="109"/>
      <c r="I751" s="109"/>
      <c r="J751" s="110"/>
      <c r="K751" s="110"/>
      <c r="L751" s="110"/>
      <c r="M751" s="110"/>
      <c r="N751" s="110"/>
      <c r="O751" s="110"/>
      <c r="P751" s="111"/>
      <c r="Q751" s="112"/>
      <c r="R751" s="112"/>
    </row>
    <row r="752" spans="5:18" customFormat="1" x14ac:dyDescent="0.3">
      <c r="E752" s="108"/>
      <c r="F752" s="109"/>
      <c r="G752" s="109"/>
      <c r="H752" s="109"/>
      <c r="I752" s="109"/>
      <c r="J752" s="110"/>
      <c r="K752" s="110"/>
      <c r="L752" s="110"/>
      <c r="M752" s="110"/>
      <c r="N752" s="110"/>
      <c r="O752" s="110"/>
      <c r="P752" s="111"/>
      <c r="Q752" s="112"/>
      <c r="R752" s="112"/>
    </row>
    <row r="753" spans="5:18" customFormat="1" x14ac:dyDescent="0.3">
      <c r="E753" s="108"/>
      <c r="F753" s="109"/>
      <c r="G753" s="109"/>
      <c r="H753" s="109"/>
      <c r="I753" s="109"/>
      <c r="J753" s="110"/>
      <c r="K753" s="110"/>
      <c r="L753" s="110"/>
      <c r="M753" s="110"/>
      <c r="N753" s="110"/>
      <c r="O753" s="110"/>
      <c r="P753" s="111"/>
      <c r="Q753" s="112"/>
      <c r="R753" s="112"/>
    </row>
    <row r="754" spans="5:18" customFormat="1" x14ac:dyDescent="0.3">
      <c r="E754" s="108"/>
      <c r="F754" s="109"/>
      <c r="G754" s="109"/>
      <c r="H754" s="109"/>
      <c r="I754" s="109"/>
      <c r="J754" s="110"/>
      <c r="K754" s="110"/>
      <c r="L754" s="110"/>
      <c r="M754" s="110"/>
      <c r="N754" s="110"/>
      <c r="O754" s="110"/>
      <c r="P754" s="111"/>
      <c r="Q754" s="112"/>
      <c r="R754" s="112"/>
    </row>
    <row r="755" spans="5:18" customFormat="1" x14ac:dyDescent="0.3">
      <c r="E755" s="108"/>
      <c r="F755" s="109"/>
      <c r="G755" s="109"/>
      <c r="H755" s="109"/>
      <c r="I755" s="109"/>
      <c r="J755" s="110"/>
      <c r="K755" s="110"/>
      <c r="L755" s="110"/>
      <c r="M755" s="110"/>
      <c r="N755" s="110"/>
      <c r="O755" s="110"/>
      <c r="P755" s="111"/>
      <c r="Q755" s="112"/>
      <c r="R755" s="112"/>
    </row>
    <row r="756" spans="5:18" customFormat="1" x14ac:dyDescent="0.3">
      <c r="E756" s="108"/>
      <c r="F756" s="109"/>
      <c r="G756" s="109"/>
      <c r="H756" s="109"/>
      <c r="I756" s="109"/>
      <c r="J756" s="110"/>
      <c r="K756" s="110"/>
      <c r="L756" s="110"/>
      <c r="M756" s="110"/>
      <c r="N756" s="110"/>
      <c r="O756" s="110"/>
      <c r="P756" s="111"/>
      <c r="Q756" s="112"/>
      <c r="R756" s="112"/>
    </row>
    <row r="757" spans="5:18" customFormat="1" x14ac:dyDescent="0.3">
      <c r="E757" s="108"/>
      <c r="F757" s="109"/>
      <c r="G757" s="109"/>
      <c r="H757" s="109"/>
      <c r="I757" s="109"/>
      <c r="J757" s="110"/>
      <c r="K757" s="110"/>
      <c r="L757" s="110"/>
      <c r="M757" s="110"/>
      <c r="N757" s="110"/>
      <c r="O757" s="110"/>
      <c r="P757" s="111"/>
      <c r="Q757" s="112"/>
      <c r="R757" s="112"/>
    </row>
    <row r="758" spans="5:18" customFormat="1" x14ac:dyDescent="0.3">
      <c r="E758" s="108"/>
      <c r="F758" s="109"/>
      <c r="G758" s="109"/>
      <c r="H758" s="109"/>
      <c r="I758" s="109"/>
      <c r="J758" s="110"/>
      <c r="K758" s="110"/>
      <c r="L758" s="110"/>
      <c r="M758" s="110"/>
      <c r="N758" s="110"/>
      <c r="O758" s="110"/>
      <c r="P758" s="111"/>
      <c r="Q758" s="112"/>
      <c r="R758" s="112"/>
    </row>
    <row r="759" spans="5:18" customFormat="1" x14ac:dyDescent="0.3">
      <c r="E759" s="108"/>
      <c r="F759" s="109"/>
      <c r="G759" s="109"/>
      <c r="H759" s="109"/>
      <c r="I759" s="109"/>
      <c r="J759" s="110"/>
      <c r="K759" s="110"/>
      <c r="L759" s="110"/>
      <c r="M759" s="110"/>
      <c r="N759" s="110"/>
      <c r="O759" s="110"/>
      <c r="P759" s="111"/>
      <c r="Q759" s="112"/>
      <c r="R759" s="112"/>
    </row>
    <row r="760" spans="5:18" customFormat="1" x14ac:dyDescent="0.3">
      <c r="E760" s="108"/>
      <c r="F760" s="109"/>
      <c r="G760" s="109"/>
      <c r="H760" s="109"/>
      <c r="I760" s="109"/>
      <c r="J760" s="110"/>
      <c r="K760" s="110"/>
      <c r="L760" s="110"/>
      <c r="M760" s="110"/>
      <c r="N760" s="110"/>
      <c r="O760" s="110"/>
      <c r="P760" s="111"/>
      <c r="Q760" s="112"/>
      <c r="R760" s="112"/>
    </row>
    <row r="761" spans="5:18" customFormat="1" x14ac:dyDescent="0.3">
      <c r="E761" s="108"/>
      <c r="F761" s="109"/>
      <c r="G761" s="109"/>
      <c r="H761" s="109"/>
      <c r="I761" s="109"/>
      <c r="J761" s="110"/>
      <c r="K761" s="110"/>
      <c r="L761" s="110"/>
      <c r="M761" s="110"/>
      <c r="N761" s="110"/>
      <c r="O761" s="110"/>
      <c r="P761" s="111"/>
      <c r="Q761" s="112"/>
      <c r="R761" s="112"/>
    </row>
    <row r="762" spans="5:18" customFormat="1" x14ac:dyDescent="0.3">
      <c r="E762" s="108"/>
      <c r="F762" s="109"/>
      <c r="G762" s="109"/>
      <c r="H762" s="109"/>
      <c r="I762" s="109"/>
      <c r="J762" s="110"/>
      <c r="K762" s="110"/>
      <c r="L762" s="110"/>
      <c r="M762" s="110"/>
      <c r="N762" s="110"/>
      <c r="O762" s="110"/>
      <c r="P762" s="111"/>
      <c r="Q762" s="112"/>
      <c r="R762" s="112"/>
    </row>
    <row r="763" spans="5:18" customFormat="1" x14ac:dyDescent="0.3">
      <c r="E763" s="108"/>
      <c r="F763" s="109"/>
      <c r="G763" s="109"/>
      <c r="H763" s="109"/>
      <c r="I763" s="109"/>
      <c r="J763" s="110"/>
      <c r="K763" s="110"/>
      <c r="L763" s="110"/>
      <c r="M763" s="110"/>
      <c r="N763" s="110"/>
      <c r="O763" s="110"/>
      <c r="P763" s="111"/>
      <c r="Q763" s="112"/>
      <c r="R763" s="112"/>
    </row>
    <row r="764" spans="5:18" customFormat="1" x14ac:dyDescent="0.3">
      <c r="E764" s="108"/>
      <c r="F764" s="109"/>
      <c r="G764" s="109"/>
      <c r="H764" s="109"/>
      <c r="I764" s="109"/>
      <c r="J764" s="110"/>
      <c r="K764" s="110"/>
      <c r="L764" s="110"/>
      <c r="M764" s="110"/>
      <c r="N764" s="110"/>
      <c r="O764" s="110"/>
      <c r="P764" s="111"/>
      <c r="Q764" s="112"/>
      <c r="R764" s="112"/>
    </row>
    <row r="765" spans="5:18" customFormat="1" x14ac:dyDescent="0.3">
      <c r="E765" s="108"/>
      <c r="F765" s="109"/>
      <c r="G765" s="109"/>
      <c r="H765" s="109"/>
      <c r="I765" s="109"/>
      <c r="J765" s="110"/>
      <c r="K765" s="110"/>
      <c r="L765" s="110"/>
      <c r="M765" s="110"/>
      <c r="N765" s="110"/>
      <c r="O765" s="110"/>
      <c r="P765" s="111"/>
      <c r="Q765" s="112"/>
      <c r="R765" s="112"/>
    </row>
    <row r="766" spans="5:18" customFormat="1" x14ac:dyDescent="0.3">
      <c r="E766" s="108"/>
      <c r="F766" s="109"/>
      <c r="G766" s="109"/>
      <c r="H766" s="109"/>
      <c r="I766" s="109"/>
      <c r="J766" s="110"/>
      <c r="K766" s="110"/>
      <c r="L766" s="110"/>
      <c r="M766" s="110"/>
      <c r="N766" s="110"/>
      <c r="O766" s="110"/>
      <c r="P766" s="111"/>
      <c r="Q766" s="112"/>
      <c r="R766" s="112"/>
    </row>
    <row r="767" spans="5:18" customFormat="1" x14ac:dyDescent="0.3">
      <c r="E767" s="108"/>
      <c r="F767" s="109"/>
      <c r="G767" s="109"/>
      <c r="H767" s="109"/>
      <c r="I767" s="109"/>
      <c r="J767" s="110"/>
      <c r="K767" s="110"/>
      <c r="L767" s="110"/>
      <c r="M767" s="110"/>
      <c r="N767" s="110"/>
      <c r="O767" s="110"/>
      <c r="P767" s="111"/>
      <c r="Q767" s="112"/>
      <c r="R767" s="112"/>
    </row>
    <row r="768" spans="5:18" customFormat="1" x14ac:dyDescent="0.3">
      <c r="E768" s="108"/>
      <c r="F768" s="109"/>
      <c r="G768" s="109"/>
      <c r="H768" s="109"/>
      <c r="I768" s="109"/>
      <c r="J768" s="110"/>
      <c r="K768" s="110"/>
      <c r="L768" s="110"/>
      <c r="M768" s="110"/>
      <c r="N768" s="110"/>
      <c r="O768" s="110"/>
      <c r="P768" s="111"/>
      <c r="Q768" s="112"/>
      <c r="R768" s="112"/>
    </row>
    <row r="769" spans="5:18" customFormat="1" x14ac:dyDescent="0.3">
      <c r="E769" s="108"/>
      <c r="F769" s="109"/>
      <c r="G769" s="109"/>
      <c r="H769" s="109"/>
      <c r="I769" s="109"/>
      <c r="J769" s="110"/>
      <c r="K769" s="110"/>
      <c r="L769" s="110"/>
      <c r="M769" s="110"/>
      <c r="N769" s="110"/>
      <c r="O769" s="110"/>
      <c r="P769" s="111"/>
      <c r="Q769" s="112"/>
      <c r="R769" s="112"/>
    </row>
    <row r="770" spans="5:18" customFormat="1" x14ac:dyDescent="0.3">
      <c r="E770" s="108"/>
      <c r="F770" s="109"/>
      <c r="G770" s="109"/>
      <c r="H770" s="109"/>
      <c r="I770" s="109"/>
      <c r="J770" s="110"/>
      <c r="K770" s="110"/>
      <c r="L770" s="110"/>
      <c r="M770" s="110"/>
      <c r="N770" s="110"/>
      <c r="O770" s="110"/>
      <c r="P770" s="111"/>
      <c r="Q770" s="112"/>
      <c r="R770" s="112"/>
    </row>
    <row r="771" spans="5:18" customFormat="1" x14ac:dyDescent="0.3">
      <c r="E771" s="108"/>
      <c r="F771" s="109"/>
      <c r="G771" s="109"/>
      <c r="H771" s="109"/>
      <c r="I771" s="109"/>
      <c r="J771" s="110"/>
      <c r="K771" s="110"/>
      <c r="L771" s="110"/>
      <c r="M771" s="110"/>
      <c r="N771" s="110"/>
      <c r="O771" s="110"/>
      <c r="P771" s="111"/>
      <c r="Q771" s="112"/>
      <c r="R771" s="112"/>
    </row>
    <row r="772" spans="5:18" customFormat="1" x14ac:dyDescent="0.3">
      <c r="E772" s="108"/>
      <c r="F772" s="109"/>
      <c r="G772" s="109"/>
      <c r="H772" s="109"/>
      <c r="I772" s="109"/>
      <c r="J772" s="110"/>
      <c r="K772" s="110"/>
      <c r="L772" s="110"/>
      <c r="M772" s="110"/>
      <c r="N772" s="110"/>
      <c r="O772" s="110"/>
      <c r="P772" s="111"/>
      <c r="Q772" s="112"/>
      <c r="R772" s="112"/>
    </row>
    <row r="773" spans="5:18" customFormat="1" x14ac:dyDescent="0.3">
      <c r="E773" s="108"/>
      <c r="F773" s="109"/>
      <c r="G773" s="109"/>
      <c r="H773" s="109"/>
      <c r="I773" s="109"/>
      <c r="J773" s="110"/>
      <c r="K773" s="110"/>
      <c r="L773" s="110"/>
      <c r="M773" s="110"/>
      <c r="N773" s="110"/>
      <c r="O773" s="110"/>
      <c r="P773" s="111"/>
      <c r="Q773" s="112"/>
      <c r="R773" s="112"/>
    </row>
    <row r="774" spans="5:18" customFormat="1" x14ac:dyDescent="0.3">
      <c r="E774" s="108"/>
      <c r="F774" s="109"/>
      <c r="G774" s="109"/>
      <c r="H774" s="109"/>
      <c r="I774" s="109"/>
      <c r="J774" s="110"/>
      <c r="K774" s="110"/>
      <c r="L774" s="110"/>
      <c r="M774" s="110"/>
      <c r="N774" s="110"/>
      <c r="O774" s="110"/>
      <c r="P774" s="111"/>
      <c r="Q774" s="112"/>
      <c r="R774" s="112"/>
    </row>
    <row r="775" spans="5:18" customFormat="1" x14ac:dyDescent="0.3">
      <c r="E775" s="108"/>
      <c r="F775" s="109"/>
      <c r="G775" s="109"/>
      <c r="H775" s="109"/>
      <c r="I775" s="109"/>
      <c r="J775" s="110"/>
      <c r="K775" s="110"/>
      <c r="L775" s="110"/>
      <c r="M775" s="110"/>
      <c r="N775" s="110"/>
      <c r="O775" s="110"/>
      <c r="P775" s="111"/>
      <c r="Q775" s="112"/>
      <c r="R775" s="112"/>
    </row>
    <row r="776" spans="5:18" customFormat="1" x14ac:dyDescent="0.3">
      <c r="E776" s="108"/>
      <c r="F776" s="109"/>
      <c r="G776" s="109"/>
      <c r="H776" s="109"/>
      <c r="I776" s="109"/>
      <c r="J776" s="110"/>
      <c r="K776" s="110"/>
      <c r="L776" s="110"/>
      <c r="M776" s="110"/>
      <c r="N776" s="110"/>
      <c r="O776" s="110"/>
      <c r="P776" s="111"/>
      <c r="Q776" s="112"/>
      <c r="R776" s="112"/>
    </row>
    <row r="777" spans="5:18" customFormat="1" x14ac:dyDescent="0.3">
      <c r="E777" s="108"/>
      <c r="F777" s="109"/>
      <c r="G777" s="109"/>
      <c r="H777" s="109"/>
      <c r="I777" s="109"/>
      <c r="J777" s="110"/>
      <c r="K777" s="110"/>
      <c r="L777" s="110"/>
      <c r="M777" s="110"/>
      <c r="N777" s="110"/>
      <c r="O777" s="110"/>
      <c r="P777" s="111"/>
      <c r="Q777" s="112"/>
      <c r="R777" s="112"/>
    </row>
    <row r="778" spans="5:18" customFormat="1" x14ac:dyDescent="0.3">
      <c r="E778" s="108"/>
      <c r="F778" s="109"/>
      <c r="G778" s="109"/>
      <c r="H778" s="109"/>
      <c r="I778" s="109"/>
      <c r="J778" s="110"/>
      <c r="K778" s="110"/>
      <c r="L778" s="110"/>
      <c r="M778" s="110"/>
      <c r="N778" s="110"/>
      <c r="O778" s="110"/>
      <c r="P778" s="111"/>
      <c r="Q778" s="112"/>
      <c r="R778" s="112"/>
    </row>
    <row r="779" spans="5:18" customFormat="1" x14ac:dyDescent="0.3">
      <c r="E779" s="108"/>
      <c r="F779" s="109"/>
      <c r="G779" s="109"/>
      <c r="H779" s="109"/>
      <c r="I779" s="109"/>
      <c r="J779" s="110"/>
      <c r="K779" s="110"/>
      <c r="L779" s="110"/>
      <c r="M779" s="110"/>
      <c r="N779" s="110"/>
      <c r="O779" s="110"/>
      <c r="P779" s="111"/>
      <c r="Q779" s="112"/>
      <c r="R779" s="112"/>
    </row>
    <row r="780" spans="5:18" customFormat="1" x14ac:dyDescent="0.3">
      <c r="E780" s="108"/>
      <c r="F780" s="109"/>
      <c r="G780" s="109"/>
      <c r="H780" s="109"/>
      <c r="I780" s="109"/>
      <c r="J780" s="110"/>
      <c r="K780" s="110"/>
      <c r="L780" s="110"/>
      <c r="M780" s="110"/>
      <c r="N780" s="110"/>
      <c r="O780" s="110"/>
      <c r="P780" s="111"/>
      <c r="Q780" s="112"/>
      <c r="R780" s="112"/>
    </row>
    <row r="781" spans="5:18" customFormat="1" x14ac:dyDescent="0.3">
      <c r="E781" s="108"/>
      <c r="F781" s="109"/>
      <c r="G781" s="109"/>
      <c r="H781" s="109"/>
      <c r="I781" s="109"/>
      <c r="J781" s="110"/>
      <c r="K781" s="110"/>
      <c r="L781" s="110"/>
      <c r="M781" s="110"/>
      <c r="N781" s="110"/>
      <c r="O781" s="110"/>
      <c r="P781" s="111"/>
      <c r="Q781" s="112"/>
      <c r="R781" s="112"/>
    </row>
    <row r="782" spans="5:18" customFormat="1" x14ac:dyDescent="0.3">
      <c r="E782" s="108"/>
      <c r="F782" s="109"/>
      <c r="G782" s="109"/>
      <c r="H782" s="109"/>
      <c r="I782" s="109"/>
      <c r="J782" s="110"/>
      <c r="K782" s="110"/>
      <c r="L782" s="110"/>
      <c r="M782" s="110"/>
      <c r="N782" s="110"/>
      <c r="O782" s="110"/>
      <c r="P782" s="111"/>
      <c r="Q782" s="112"/>
      <c r="R782" s="112"/>
    </row>
    <row r="783" spans="5:18" customFormat="1" x14ac:dyDescent="0.3">
      <c r="E783" s="108"/>
      <c r="F783" s="109"/>
      <c r="G783" s="109"/>
      <c r="H783" s="109"/>
      <c r="I783" s="109"/>
      <c r="J783" s="110"/>
      <c r="K783" s="110"/>
      <c r="L783" s="110"/>
      <c r="M783" s="110"/>
      <c r="N783" s="110"/>
      <c r="O783" s="110"/>
      <c r="P783" s="111"/>
      <c r="Q783" s="112"/>
      <c r="R783" s="112"/>
    </row>
    <row r="784" spans="5:18" customFormat="1" x14ac:dyDescent="0.3">
      <c r="E784" s="108"/>
      <c r="F784" s="109"/>
      <c r="G784" s="109"/>
      <c r="H784" s="109"/>
      <c r="I784" s="109"/>
      <c r="J784" s="110"/>
      <c r="K784" s="110"/>
      <c r="L784" s="110"/>
      <c r="M784" s="110"/>
      <c r="N784" s="110"/>
      <c r="O784" s="110"/>
      <c r="P784" s="111"/>
      <c r="Q784" s="112"/>
      <c r="R784" s="112"/>
    </row>
    <row r="785" spans="5:18" customFormat="1" x14ac:dyDescent="0.3">
      <c r="E785" s="108"/>
      <c r="F785" s="109"/>
      <c r="G785" s="109"/>
      <c r="H785" s="109"/>
      <c r="I785" s="109"/>
      <c r="J785" s="110"/>
      <c r="K785" s="110"/>
      <c r="L785" s="110"/>
      <c r="M785" s="110"/>
      <c r="N785" s="110"/>
      <c r="O785" s="110"/>
      <c r="P785" s="111"/>
      <c r="Q785" s="112"/>
      <c r="R785" s="112"/>
    </row>
    <row r="786" spans="5:18" customFormat="1" x14ac:dyDescent="0.3">
      <c r="E786" s="108"/>
      <c r="F786" s="109"/>
      <c r="G786" s="109"/>
      <c r="H786" s="109"/>
      <c r="I786" s="109"/>
      <c r="J786" s="110"/>
      <c r="K786" s="110"/>
      <c r="L786" s="110"/>
      <c r="M786" s="110"/>
      <c r="N786" s="110"/>
      <c r="O786" s="110"/>
      <c r="P786" s="111"/>
      <c r="Q786" s="112"/>
      <c r="R786" s="112"/>
    </row>
    <row r="787" spans="5:18" customFormat="1" x14ac:dyDescent="0.3">
      <c r="E787" s="108"/>
      <c r="F787" s="109"/>
      <c r="G787" s="109"/>
      <c r="H787" s="109"/>
      <c r="I787" s="109"/>
      <c r="J787" s="110"/>
      <c r="K787" s="110"/>
      <c r="L787" s="110"/>
      <c r="M787" s="110"/>
      <c r="N787" s="110"/>
      <c r="O787" s="110"/>
      <c r="P787" s="111"/>
      <c r="Q787" s="112"/>
      <c r="R787" s="112"/>
    </row>
    <row r="788" spans="5:18" customFormat="1" x14ac:dyDescent="0.3">
      <c r="E788" s="108"/>
      <c r="F788" s="109"/>
      <c r="G788" s="109"/>
      <c r="H788" s="109"/>
      <c r="I788" s="109"/>
      <c r="J788" s="110"/>
      <c r="K788" s="110"/>
      <c r="L788" s="110"/>
      <c r="M788" s="110"/>
      <c r="N788" s="110"/>
      <c r="O788" s="110"/>
      <c r="P788" s="111"/>
      <c r="Q788" s="112"/>
      <c r="R788" s="112"/>
    </row>
    <row r="789" spans="5:18" customFormat="1" x14ac:dyDescent="0.3">
      <c r="E789" s="108"/>
      <c r="F789" s="109"/>
      <c r="G789" s="109"/>
      <c r="H789" s="109"/>
      <c r="I789" s="109"/>
      <c r="J789" s="110"/>
      <c r="K789" s="110"/>
      <c r="L789" s="110"/>
      <c r="M789" s="110"/>
      <c r="N789" s="110"/>
      <c r="O789" s="110"/>
      <c r="P789" s="111"/>
      <c r="Q789" s="112"/>
      <c r="R789" s="112"/>
    </row>
    <row r="790" spans="5:18" customFormat="1" x14ac:dyDescent="0.3">
      <c r="E790" s="108"/>
      <c r="F790" s="109"/>
      <c r="G790" s="109"/>
      <c r="H790" s="109"/>
      <c r="I790" s="109"/>
      <c r="J790" s="110"/>
      <c r="K790" s="110"/>
      <c r="L790" s="110"/>
      <c r="M790" s="110"/>
      <c r="N790" s="110"/>
      <c r="O790" s="110"/>
      <c r="P790" s="111"/>
      <c r="Q790" s="112"/>
      <c r="R790" s="112"/>
    </row>
    <row r="791" spans="5:18" customFormat="1" x14ac:dyDescent="0.3">
      <c r="E791" s="108"/>
      <c r="F791" s="109"/>
      <c r="G791" s="109"/>
      <c r="H791" s="109"/>
      <c r="I791" s="109"/>
      <c r="J791" s="110"/>
      <c r="K791" s="110"/>
      <c r="L791" s="110"/>
      <c r="M791" s="110"/>
      <c r="N791" s="110"/>
      <c r="O791" s="110"/>
      <c r="P791" s="111"/>
      <c r="Q791" s="112"/>
      <c r="R791" s="112"/>
    </row>
    <row r="792" spans="5:18" customFormat="1" x14ac:dyDescent="0.3">
      <c r="E792" s="108"/>
      <c r="F792" s="109"/>
      <c r="G792" s="109"/>
      <c r="H792" s="109"/>
      <c r="I792" s="109"/>
      <c r="J792" s="110"/>
      <c r="K792" s="110"/>
      <c r="L792" s="110"/>
      <c r="M792" s="110"/>
      <c r="N792" s="110"/>
      <c r="O792" s="110"/>
      <c r="P792" s="111"/>
      <c r="Q792" s="112"/>
      <c r="R792" s="112"/>
    </row>
    <row r="793" spans="5:18" customFormat="1" x14ac:dyDescent="0.3">
      <c r="E793" s="108"/>
      <c r="F793" s="109"/>
      <c r="G793" s="109"/>
      <c r="H793" s="109"/>
      <c r="I793" s="109"/>
      <c r="J793" s="110"/>
      <c r="K793" s="110"/>
      <c r="L793" s="110"/>
      <c r="M793" s="110"/>
      <c r="N793" s="110"/>
      <c r="O793" s="110"/>
      <c r="P793" s="111"/>
      <c r="Q793" s="112"/>
      <c r="R793" s="112"/>
    </row>
    <row r="794" spans="5:18" customFormat="1" x14ac:dyDescent="0.3">
      <c r="E794" s="108"/>
      <c r="F794" s="109"/>
      <c r="G794" s="109"/>
      <c r="H794" s="109"/>
      <c r="I794" s="109"/>
      <c r="J794" s="110"/>
      <c r="K794" s="110"/>
      <c r="L794" s="110"/>
      <c r="M794" s="110"/>
      <c r="N794" s="110"/>
      <c r="O794" s="110"/>
      <c r="P794" s="111"/>
      <c r="Q794" s="112"/>
      <c r="R794" s="112"/>
    </row>
    <row r="795" spans="5:18" customFormat="1" x14ac:dyDescent="0.3">
      <c r="E795" s="108"/>
      <c r="F795" s="109"/>
      <c r="G795" s="109"/>
      <c r="H795" s="109"/>
      <c r="I795" s="109"/>
      <c r="J795" s="110"/>
      <c r="K795" s="110"/>
      <c r="L795" s="110"/>
      <c r="M795" s="110"/>
      <c r="N795" s="110"/>
      <c r="O795" s="110"/>
      <c r="P795" s="111"/>
      <c r="Q795" s="112"/>
      <c r="R795" s="112"/>
    </row>
    <row r="796" spans="5:18" customFormat="1" x14ac:dyDescent="0.3">
      <c r="E796" s="108"/>
      <c r="F796" s="109"/>
      <c r="G796" s="109"/>
      <c r="H796" s="109"/>
      <c r="I796" s="109"/>
      <c r="J796" s="110"/>
      <c r="K796" s="110"/>
      <c r="L796" s="110"/>
      <c r="M796" s="110"/>
      <c r="N796" s="110"/>
      <c r="O796" s="110"/>
      <c r="P796" s="111"/>
      <c r="Q796" s="112"/>
      <c r="R796" s="112"/>
    </row>
    <row r="797" spans="5:18" customFormat="1" x14ac:dyDescent="0.3">
      <c r="E797" s="108"/>
      <c r="F797" s="109"/>
      <c r="G797" s="109"/>
      <c r="H797" s="109"/>
      <c r="I797" s="109"/>
      <c r="J797" s="110"/>
      <c r="K797" s="110"/>
      <c r="L797" s="110"/>
      <c r="M797" s="110"/>
      <c r="N797" s="110"/>
      <c r="O797" s="110"/>
      <c r="P797" s="111"/>
      <c r="Q797" s="112"/>
      <c r="R797" s="112"/>
    </row>
    <row r="798" spans="5:18" customFormat="1" x14ac:dyDescent="0.3">
      <c r="E798" s="108"/>
      <c r="F798" s="109"/>
      <c r="G798" s="109"/>
      <c r="H798" s="109"/>
      <c r="I798" s="109"/>
      <c r="J798" s="110"/>
      <c r="K798" s="110"/>
      <c r="L798" s="110"/>
      <c r="M798" s="110"/>
      <c r="N798" s="110"/>
      <c r="O798" s="110"/>
      <c r="P798" s="111"/>
      <c r="Q798" s="112"/>
      <c r="R798" s="112"/>
    </row>
    <row r="799" spans="5:18" customFormat="1" x14ac:dyDescent="0.3">
      <c r="E799" s="108"/>
      <c r="F799" s="109"/>
      <c r="G799" s="109"/>
      <c r="H799" s="109"/>
      <c r="I799" s="109"/>
      <c r="J799" s="110"/>
      <c r="K799" s="110"/>
      <c r="L799" s="110"/>
      <c r="M799" s="110"/>
      <c r="N799" s="110"/>
      <c r="O799" s="110"/>
      <c r="P799" s="111"/>
      <c r="Q799" s="112"/>
      <c r="R799" s="112"/>
    </row>
    <row r="800" spans="5:18" customFormat="1" x14ac:dyDescent="0.3">
      <c r="E800" s="108"/>
      <c r="F800" s="109"/>
      <c r="G800" s="109"/>
      <c r="H800" s="109"/>
      <c r="I800" s="109"/>
      <c r="J800" s="110"/>
      <c r="K800" s="110"/>
      <c r="L800" s="110"/>
      <c r="M800" s="110"/>
      <c r="N800" s="110"/>
      <c r="O800" s="110"/>
      <c r="P800" s="111"/>
      <c r="Q800" s="112"/>
      <c r="R800" s="112"/>
    </row>
    <row r="801" spans="5:18" customFormat="1" x14ac:dyDescent="0.3">
      <c r="E801" s="108"/>
      <c r="F801" s="109"/>
      <c r="G801" s="109"/>
      <c r="H801" s="109"/>
      <c r="I801" s="109"/>
      <c r="J801" s="110"/>
      <c r="K801" s="110"/>
      <c r="L801" s="110"/>
      <c r="M801" s="110"/>
      <c r="N801" s="110"/>
      <c r="O801" s="110"/>
      <c r="P801" s="111"/>
      <c r="Q801" s="112"/>
      <c r="R801" s="112"/>
    </row>
    <row r="802" spans="5:18" customFormat="1" x14ac:dyDescent="0.3">
      <c r="E802" s="108"/>
      <c r="F802" s="109"/>
      <c r="G802" s="109"/>
      <c r="H802" s="109"/>
      <c r="I802" s="109"/>
      <c r="J802" s="110"/>
      <c r="K802" s="110"/>
      <c r="L802" s="110"/>
      <c r="M802" s="110"/>
      <c r="N802" s="110"/>
      <c r="O802" s="110"/>
      <c r="P802" s="111"/>
      <c r="Q802" s="112"/>
      <c r="R802" s="112"/>
    </row>
    <row r="803" spans="5:18" customFormat="1" x14ac:dyDescent="0.3">
      <c r="E803" s="108"/>
      <c r="F803" s="109"/>
      <c r="G803" s="109"/>
      <c r="H803" s="109"/>
      <c r="I803" s="109"/>
      <c r="J803" s="110"/>
      <c r="K803" s="110"/>
      <c r="L803" s="110"/>
      <c r="M803" s="110"/>
      <c r="N803" s="110"/>
      <c r="O803" s="110"/>
      <c r="P803" s="111"/>
      <c r="Q803" s="112"/>
      <c r="R803" s="112"/>
    </row>
    <row r="804" spans="5:18" customFormat="1" x14ac:dyDescent="0.3">
      <c r="E804" s="108"/>
      <c r="F804" s="109"/>
      <c r="G804" s="109"/>
      <c r="H804" s="109"/>
      <c r="I804" s="109"/>
      <c r="J804" s="110"/>
      <c r="K804" s="110"/>
      <c r="L804" s="110"/>
      <c r="M804" s="110"/>
      <c r="N804" s="110"/>
      <c r="O804" s="110"/>
      <c r="P804" s="111"/>
      <c r="Q804" s="112"/>
      <c r="R804" s="112"/>
    </row>
    <row r="805" spans="5:18" customFormat="1" x14ac:dyDescent="0.3">
      <c r="E805" s="108"/>
      <c r="F805" s="109"/>
      <c r="G805" s="109"/>
      <c r="H805" s="109"/>
      <c r="I805" s="109"/>
      <c r="J805" s="110"/>
      <c r="K805" s="110"/>
      <c r="L805" s="110"/>
      <c r="M805" s="110"/>
      <c r="N805" s="110"/>
      <c r="O805" s="110"/>
      <c r="P805" s="111"/>
      <c r="Q805" s="112"/>
      <c r="R805" s="112"/>
    </row>
    <row r="806" spans="5:18" customFormat="1" x14ac:dyDescent="0.3">
      <c r="E806" s="108"/>
      <c r="F806" s="109"/>
      <c r="G806" s="109"/>
      <c r="H806" s="109"/>
      <c r="I806" s="109"/>
      <c r="J806" s="110"/>
      <c r="K806" s="110"/>
      <c r="L806" s="110"/>
      <c r="M806" s="110"/>
      <c r="N806" s="110"/>
      <c r="O806" s="110"/>
      <c r="P806" s="111"/>
      <c r="Q806" s="112"/>
      <c r="R806" s="112"/>
    </row>
    <row r="807" spans="5:18" customFormat="1" x14ac:dyDescent="0.3">
      <c r="E807" s="108"/>
      <c r="F807" s="109"/>
      <c r="G807" s="109"/>
      <c r="H807" s="109"/>
      <c r="I807" s="109"/>
      <c r="J807" s="110"/>
      <c r="K807" s="110"/>
      <c r="L807" s="110"/>
      <c r="M807" s="110"/>
      <c r="N807" s="110"/>
      <c r="O807" s="110"/>
      <c r="P807" s="111"/>
      <c r="Q807" s="112"/>
      <c r="R807" s="112"/>
    </row>
    <row r="808" spans="5:18" customFormat="1" x14ac:dyDescent="0.3">
      <c r="E808" s="108"/>
      <c r="F808" s="109"/>
      <c r="G808" s="109"/>
      <c r="H808" s="109"/>
      <c r="I808" s="109"/>
      <c r="J808" s="110"/>
      <c r="K808" s="110"/>
      <c r="L808" s="110"/>
      <c r="M808" s="110"/>
      <c r="N808" s="110"/>
      <c r="O808" s="110"/>
      <c r="P808" s="111"/>
      <c r="Q808" s="112"/>
      <c r="R808" s="112"/>
    </row>
    <row r="809" spans="5:18" customFormat="1" x14ac:dyDescent="0.3">
      <c r="E809" s="108"/>
      <c r="F809" s="109"/>
      <c r="G809" s="109"/>
      <c r="H809" s="109"/>
      <c r="I809" s="109"/>
      <c r="J809" s="110"/>
      <c r="K809" s="110"/>
      <c r="L809" s="110"/>
      <c r="M809" s="110"/>
      <c r="N809" s="110"/>
      <c r="O809" s="110"/>
      <c r="P809" s="111"/>
      <c r="Q809" s="112"/>
      <c r="R809" s="112"/>
    </row>
    <row r="810" spans="5:18" customFormat="1" x14ac:dyDescent="0.3">
      <c r="E810" s="108"/>
      <c r="F810" s="109"/>
      <c r="G810" s="109"/>
      <c r="H810" s="109"/>
      <c r="I810" s="109"/>
      <c r="J810" s="110"/>
      <c r="K810" s="110"/>
      <c r="L810" s="110"/>
      <c r="M810" s="110"/>
      <c r="N810" s="110"/>
      <c r="O810" s="110"/>
      <c r="P810" s="111"/>
      <c r="Q810" s="112"/>
      <c r="R810" s="112"/>
    </row>
    <row r="811" spans="5:18" customFormat="1" x14ac:dyDescent="0.3">
      <c r="E811" s="108"/>
      <c r="F811" s="109"/>
      <c r="G811" s="109"/>
      <c r="H811" s="109"/>
      <c r="I811" s="109"/>
      <c r="J811" s="110"/>
      <c r="K811" s="110"/>
      <c r="L811" s="110"/>
      <c r="M811" s="110"/>
      <c r="N811" s="110"/>
      <c r="O811" s="110"/>
      <c r="P811" s="111"/>
      <c r="Q811" s="112"/>
      <c r="R811" s="112"/>
    </row>
    <row r="812" spans="5:18" customFormat="1" x14ac:dyDescent="0.3">
      <c r="E812" s="108"/>
      <c r="F812" s="109"/>
      <c r="G812" s="109"/>
      <c r="H812" s="109"/>
      <c r="I812" s="109"/>
      <c r="J812" s="110"/>
      <c r="K812" s="110"/>
      <c r="L812" s="110"/>
      <c r="M812" s="110"/>
      <c r="N812" s="110"/>
      <c r="O812" s="110"/>
      <c r="P812" s="111"/>
      <c r="Q812" s="112"/>
      <c r="R812" s="112"/>
    </row>
    <row r="813" spans="5:18" customFormat="1" x14ac:dyDescent="0.3">
      <c r="E813" s="108"/>
      <c r="F813" s="109"/>
      <c r="G813" s="109"/>
      <c r="H813" s="109"/>
      <c r="I813" s="109"/>
      <c r="J813" s="110"/>
      <c r="K813" s="110"/>
      <c r="L813" s="110"/>
      <c r="M813" s="110"/>
      <c r="N813" s="110"/>
      <c r="O813" s="110"/>
      <c r="P813" s="111"/>
      <c r="Q813" s="112"/>
      <c r="R813" s="112"/>
    </row>
    <row r="814" spans="5:18" customFormat="1" x14ac:dyDescent="0.3">
      <c r="E814" s="108"/>
      <c r="F814" s="109"/>
      <c r="G814" s="109"/>
      <c r="H814" s="109"/>
      <c r="I814" s="109"/>
      <c r="J814" s="110"/>
      <c r="K814" s="110"/>
      <c r="L814" s="110"/>
      <c r="M814" s="110"/>
      <c r="N814" s="110"/>
      <c r="O814" s="110"/>
      <c r="P814" s="111"/>
      <c r="Q814" s="112"/>
      <c r="R814" s="112"/>
    </row>
    <row r="815" spans="5:18" customFormat="1" x14ac:dyDescent="0.3">
      <c r="E815" s="108"/>
      <c r="F815" s="109"/>
      <c r="G815" s="109"/>
      <c r="H815" s="109"/>
      <c r="I815" s="109"/>
      <c r="J815" s="110"/>
      <c r="K815" s="110"/>
      <c r="L815" s="110"/>
      <c r="M815" s="110"/>
      <c r="N815" s="110"/>
      <c r="O815" s="110"/>
      <c r="P815" s="111"/>
      <c r="Q815" s="112"/>
      <c r="R815" s="112"/>
    </row>
    <row r="816" spans="5:18" customFormat="1" x14ac:dyDescent="0.3">
      <c r="E816" s="108"/>
      <c r="F816" s="109"/>
      <c r="G816" s="109"/>
      <c r="H816" s="109"/>
      <c r="I816" s="109"/>
      <c r="J816" s="110"/>
      <c r="K816" s="110"/>
      <c r="L816" s="110"/>
      <c r="M816" s="110"/>
      <c r="N816" s="110"/>
      <c r="O816" s="110"/>
      <c r="P816" s="111"/>
      <c r="Q816" s="112"/>
      <c r="R816" s="112"/>
    </row>
    <row r="817" spans="5:18" customFormat="1" x14ac:dyDescent="0.3">
      <c r="E817" s="108"/>
      <c r="F817" s="109"/>
      <c r="G817" s="109"/>
      <c r="H817" s="109"/>
      <c r="I817" s="109"/>
      <c r="J817" s="110"/>
      <c r="K817" s="110"/>
      <c r="L817" s="110"/>
      <c r="M817" s="110"/>
      <c r="N817" s="110"/>
      <c r="O817" s="110"/>
      <c r="P817" s="111"/>
      <c r="Q817" s="112"/>
      <c r="R817" s="112"/>
    </row>
    <row r="818" spans="5:18" customFormat="1" x14ac:dyDescent="0.3">
      <c r="E818" s="108"/>
      <c r="F818" s="109"/>
      <c r="G818" s="109"/>
      <c r="H818" s="109"/>
      <c r="I818" s="109"/>
      <c r="J818" s="110"/>
      <c r="K818" s="110"/>
      <c r="L818" s="110"/>
      <c r="M818" s="110"/>
      <c r="N818" s="110"/>
      <c r="O818" s="110"/>
      <c r="P818" s="111"/>
      <c r="Q818" s="112"/>
      <c r="R818" s="112"/>
    </row>
    <row r="819" spans="5:18" customFormat="1" x14ac:dyDescent="0.3">
      <c r="E819" s="108"/>
      <c r="F819" s="109"/>
      <c r="G819" s="109"/>
      <c r="H819" s="109"/>
      <c r="I819" s="109"/>
      <c r="J819" s="110"/>
      <c r="K819" s="110"/>
      <c r="L819" s="110"/>
      <c r="M819" s="110"/>
      <c r="N819" s="110"/>
      <c r="O819" s="110"/>
      <c r="P819" s="111"/>
      <c r="Q819" s="112"/>
      <c r="R819" s="112"/>
    </row>
    <row r="820" spans="5:18" customFormat="1" x14ac:dyDescent="0.3">
      <c r="E820" s="108"/>
      <c r="F820" s="109"/>
      <c r="G820" s="109"/>
      <c r="H820" s="109"/>
      <c r="I820" s="109"/>
      <c r="J820" s="110"/>
      <c r="K820" s="110"/>
      <c r="L820" s="110"/>
      <c r="M820" s="110"/>
      <c r="N820" s="110"/>
      <c r="O820" s="110"/>
      <c r="P820" s="111"/>
      <c r="Q820" s="112"/>
      <c r="R820" s="112"/>
    </row>
    <row r="821" spans="5:18" customFormat="1" x14ac:dyDescent="0.3">
      <c r="E821" s="108"/>
      <c r="F821" s="109"/>
      <c r="G821" s="109"/>
      <c r="H821" s="109"/>
      <c r="I821" s="109"/>
      <c r="J821" s="110"/>
      <c r="K821" s="110"/>
      <c r="L821" s="110"/>
      <c r="M821" s="110"/>
      <c r="N821" s="110"/>
      <c r="O821" s="110"/>
      <c r="P821" s="111"/>
      <c r="Q821" s="112"/>
      <c r="R821" s="112"/>
    </row>
    <row r="822" spans="5:18" customFormat="1" x14ac:dyDescent="0.3">
      <c r="E822" s="108"/>
      <c r="F822" s="109"/>
      <c r="G822" s="109"/>
      <c r="H822" s="109"/>
      <c r="I822" s="109"/>
      <c r="J822" s="110"/>
      <c r="K822" s="110"/>
      <c r="L822" s="110"/>
      <c r="M822" s="110"/>
      <c r="N822" s="110"/>
      <c r="O822" s="110"/>
      <c r="P822" s="111"/>
      <c r="Q822" s="112"/>
      <c r="R822" s="112"/>
    </row>
    <row r="823" spans="5:18" customFormat="1" x14ac:dyDescent="0.3">
      <c r="E823" s="108"/>
      <c r="F823" s="109"/>
      <c r="G823" s="109"/>
      <c r="H823" s="109"/>
      <c r="I823" s="109"/>
      <c r="J823" s="110"/>
      <c r="K823" s="110"/>
      <c r="L823" s="110"/>
      <c r="M823" s="110"/>
      <c r="N823" s="110"/>
      <c r="O823" s="110"/>
      <c r="P823" s="111"/>
      <c r="Q823" s="112"/>
      <c r="R823" s="112"/>
    </row>
    <row r="824" spans="5:18" customFormat="1" x14ac:dyDescent="0.3">
      <c r="E824" s="108"/>
      <c r="F824" s="109"/>
      <c r="G824" s="109"/>
      <c r="H824" s="109"/>
      <c r="I824" s="109"/>
      <c r="J824" s="110"/>
      <c r="K824" s="110"/>
      <c r="L824" s="110"/>
      <c r="M824" s="110"/>
      <c r="N824" s="110"/>
      <c r="O824" s="110"/>
      <c r="P824" s="111"/>
      <c r="Q824" s="112"/>
      <c r="R824" s="112"/>
    </row>
    <row r="825" spans="5:18" customFormat="1" x14ac:dyDescent="0.3">
      <c r="E825" s="108"/>
      <c r="F825" s="109"/>
      <c r="G825" s="109"/>
      <c r="H825" s="109"/>
      <c r="I825" s="109"/>
      <c r="J825" s="110"/>
      <c r="K825" s="110"/>
      <c r="L825" s="110"/>
      <c r="M825" s="110"/>
      <c r="N825" s="110"/>
      <c r="O825" s="110"/>
      <c r="P825" s="111"/>
      <c r="Q825" s="112"/>
      <c r="R825" s="112"/>
    </row>
    <row r="826" spans="5:18" customFormat="1" x14ac:dyDescent="0.3">
      <c r="E826" s="108"/>
      <c r="F826" s="109"/>
      <c r="G826" s="109"/>
      <c r="H826" s="109"/>
      <c r="I826" s="109"/>
      <c r="J826" s="110"/>
      <c r="K826" s="110"/>
      <c r="L826" s="110"/>
      <c r="M826" s="110"/>
      <c r="N826" s="110"/>
      <c r="O826" s="110"/>
      <c r="P826" s="111"/>
      <c r="Q826" s="112"/>
      <c r="R826" s="112"/>
    </row>
    <row r="827" spans="5:18" customFormat="1" x14ac:dyDescent="0.3">
      <c r="E827" s="108"/>
      <c r="F827" s="109"/>
      <c r="G827" s="109"/>
      <c r="H827" s="109"/>
      <c r="I827" s="109"/>
      <c r="J827" s="110"/>
      <c r="K827" s="110"/>
      <c r="L827" s="110"/>
      <c r="M827" s="110"/>
      <c r="N827" s="110"/>
      <c r="O827" s="110"/>
      <c r="P827" s="111"/>
      <c r="Q827" s="112"/>
      <c r="R827" s="112"/>
    </row>
    <row r="828" spans="5:18" customFormat="1" x14ac:dyDescent="0.3">
      <c r="E828" s="108"/>
      <c r="F828" s="109"/>
      <c r="G828" s="109"/>
      <c r="H828" s="109"/>
      <c r="I828" s="109"/>
      <c r="J828" s="110"/>
      <c r="K828" s="110"/>
      <c r="L828" s="110"/>
      <c r="M828" s="110"/>
      <c r="N828" s="110"/>
      <c r="O828" s="110"/>
      <c r="P828" s="111"/>
      <c r="Q828" s="112"/>
      <c r="R828" s="112"/>
    </row>
    <row r="829" spans="5:18" customFormat="1" x14ac:dyDescent="0.3">
      <c r="E829" s="108"/>
      <c r="F829" s="109"/>
      <c r="G829" s="109"/>
      <c r="H829" s="109"/>
      <c r="I829" s="109"/>
      <c r="J829" s="110"/>
      <c r="K829" s="110"/>
      <c r="L829" s="110"/>
      <c r="M829" s="110"/>
      <c r="N829" s="110"/>
      <c r="O829" s="110"/>
      <c r="P829" s="111"/>
      <c r="Q829" s="112"/>
      <c r="R829" s="112"/>
    </row>
    <row r="830" spans="5:18" customFormat="1" x14ac:dyDescent="0.3">
      <c r="E830" s="108"/>
      <c r="F830" s="109"/>
      <c r="G830" s="109"/>
      <c r="H830" s="109"/>
      <c r="I830" s="109"/>
      <c r="J830" s="110"/>
      <c r="K830" s="110"/>
      <c r="L830" s="110"/>
      <c r="M830" s="110"/>
      <c r="N830" s="110"/>
      <c r="O830" s="110"/>
      <c r="P830" s="111"/>
      <c r="Q830" s="112"/>
      <c r="R830" s="112"/>
    </row>
    <row r="831" spans="5:18" customFormat="1" x14ac:dyDescent="0.3">
      <c r="E831" s="108"/>
      <c r="F831" s="109"/>
      <c r="G831" s="109"/>
      <c r="H831" s="109"/>
      <c r="I831" s="109"/>
      <c r="J831" s="110"/>
      <c r="K831" s="110"/>
      <c r="L831" s="110"/>
      <c r="M831" s="110"/>
      <c r="N831" s="110"/>
      <c r="O831" s="110"/>
      <c r="P831" s="111"/>
      <c r="Q831" s="112"/>
      <c r="R831" s="112"/>
    </row>
    <row r="832" spans="5:18" customFormat="1" x14ac:dyDescent="0.3">
      <c r="E832" s="108"/>
      <c r="F832" s="109"/>
      <c r="G832" s="109"/>
      <c r="H832" s="109"/>
      <c r="I832" s="109"/>
      <c r="J832" s="110"/>
      <c r="K832" s="110"/>
      <c r="L832" s="110"/>
      <c r="M832" s="110"/>
      <c r="N832" s="110"/>
      <c r="O832" s="110"/>
      <c r="P832" s="111"/>
      <c r="Q832" s="112"/>
      <c r="R832" s="112"/>
    </row>
    <row r="833" spans="5:18" customFormat="1" x14ac:dyDescent="0.3">
      <c r="E833" s="108"/>
      <c r="F833" s="109"/>
      <c r="G833" s="109"/>
      <c r="H833" s="109"/>
      <c r="I833" s="109"/>
      <c r="J833" s="110"/>
      <c r="K833" s="110"/>
      <c r="L833" s="110"/>
      <c r="M833" s="110"/>
      <c r="N833" s="110"/>
      <c r="O833" s="110"/>
      <c r="P833" s="111"/>
      <c r="Q833" s="112"/>
      <c r="R833" s="112"/>
    </row>
    <row r="834" spans="5:18" customFormat="1" x14ac:dyDescent="0.3">
      <c r="E834" s="108"/>
      <c r="F834" s="109"/>
      <c r="G834" s="109"/>
      <c r="H834" s="109"/>
      <c r="I834" s="109"/>
      <c r="J834" s="110"/>
      <c r="K834" s="110"/>
      <c r="L834" s="110"/>
      <c r="M834" s="110"/>
      <c r="N834" s="110"/>
      <c r="O834" s="110"/>
      <c r="P834" s="111"/>
      <c r="Q834" s="112"/>
      <c r="R834" s="112"/>
    </row>
    <row r="835" spans="5:18" customFormat="1" x14ac:dyDescent="0.3">
      <c r="E835" s="108"/>
      <c r="F835" s="109"/>
      <c r="G835" s="109"/>
      <c r="H835" s="109"/>
      <c r="I835" s="109"/>
      <c r="J835" s="110"/>
      <c r="K835" s="110"/>
      <c r="L835" s="110"/>
      <c r="M835" s="110"/>
      <c r="N835" s="110"/>
      <c r="O835" s="110"/>
      <c r="P835" s="111"/>
      <c r="Q835" s="112"/>
      <c r="R835" s="112"/>
    </row>
    <row r="836" spans="5:18" customFormat="1" x14ac:dyDescent="0.3">
      <c r="E836" s="108"/>
      <c r="F836" s="109"/>
      <c r="G836" s="109"/>
      <c r="H836" s="109"/>
      <c r="I836" s="109"/>
      <c r="J836" s="110"/>
      <c r="K836" s="110"/>
      <c r="L836" s="110"/>
      <c r="M836" s="110"/>
      <c r="N836" s="110"/>
      <c r="O836" s="110"/>
      <c r="P836" s="111"/>
      <c r="Q836" s="112"/>
      <c r="R836" s="112"/>
    </row>
    <row r="837" spans="5:18" customFormat="1" x14ac:dyDescent="0.3">
      <c r="E837" s="108"/>
      <c r="F837" s="109"/>
      <c r="G837" s="109"/>
      <c r="H837" s="109"/>
      <c r="I837" s="109"/>
      <c r="J837" s="110"/>
      <c r="K837" s="110"/>
      <c r="L837" s="110"/>
      <c r="M837" s="110"/>
      <c r="N837" s="110"/>
      <c r="O837" s="110"/>
      <c r="P837" s="111"/>
      <c r="Q837" s="112"/>
      <c r="R837" s="112"/>
    </row>
    <row r="838" spans="5:18" customFormat="1" x14ac:dyDescent="0.3">
      <c r="E838" s="108"/>
      <c r="F838" s="109"/>
      <c r="G838" s="109"/>
      <c r="H838" s="109"/>
      <c r="I838" s="109"/>
      <c r="J838" s="110"/>
      <c r="K838" s="110"/>
      <c r="L838" s="110"/>
      <c r="M838" s="110"/>
      <c r="N838" s="110"/>
      <c r="O838" s="110"/>
      <c r="P838" s="111"/>
      <c r="Q838" s="112"/>
      <c r="R838" s="112"/>
    </row>
    <row r="839" spans="5:18" customFormat="1" x14ac:dyDescent="0.3">
      <c r="E839" s="108"/>
      <c r="F839" s="109"/>
      <c r="G839" s="109"/>
      <c r="H839" s="109"/>
      <c r="I839" s="109"/>
      <c r="J839" s="110"/>
      <c r="K839" s="110"/>
      <c r="L839" s="110"/>
      <c r="M839" s="110"/>
      <c r="N839" s="110"/>
      <c r="O839" s="110"/>
      <c r="P839" s="111"/>
      <c r="Q839" s="112"/>
      <c r="R839" s="112"/>
    </row>
    <row r="840" spans="5:18" customFormat="1" x14ac:dyDescent="0.3">
      <c r="E840" s="108"/>
      <c r="F840" s="109"/>
      <c r="G840" s="109"/>
      <c r="H840" s="109"/>
      <c r="I840" s="109"/>
      <c r="J840" s="110"/>
      <c r="K840" s="110"/>
      <c r="L840" s="110"/>
      <c r="M840" s="110"/>
      <c r="N840" s="110"/>
      <c r="O840" s="110"/>
      <c r="P840" s="111"/>
      <c r="Q840" s="112"/>
      <c r="R840" s="112"/>
    </row>
    <row r="841" spans="5:18" customFormat="1" x14ac:dyDescent="0.3">
      <c r="E841" s="108"/>
      <c r="F841" s="109"/>
      <c r="G841" s="109"/>
      <c r="H841" s="109"/>
      <c r="I841" s="109"/>
      <c r="J841" s="110"/>
      <c r="K841" s="110"/>
      <c r="L841" s="110"/>
      <c r="M841" s="110"/>
      <c r="N841" s="110"/>
      <c r="O841" s="110"/>
      <c r="P841" s="111"/>
      <c r="Q841" s="112"/>
      <c r="R841" s="112"/>
    </row>
    <row r="842" spans="5:18" customFormat="1" x14ac:dyDescent="0.3">
      <c r="E842" s="108"/>
      <c r="F842" s="109"/>
      <c r="G842" s="109"/>
      <c r="H842" s="109"/>
      <c r="I842" s="109"/>
      <c r="J842" s="110"/>
      <c r="K842" s="110"/>
      <c r="L842" s="110"/>
      <c r="M842" s="110"/>
      <c r="N842" s="110"/>
      <c r="O842" s="110"/>
      <c r="P842" s="111"/>
      <c r="Q842" s="112"/>
      <c r="R842" s="112"/>
    </row>
    <row r="843" spans="5:18" customFormat="1" x14ac:dyDescent="0.3">
      <c r="E843" s="108"/>
      <c r="F843" s="109"/>
      <c r="G843" s="109"/>
      <c r="H843" s="109"/>
      <c r="I843" s="109"/>
      <c r="J843" s="110"/>
      <c r="K843" s="110"/>
      <c r="L843" s="110"/>
      <c r="M843" s="110"/>
      <c r="N843" s="110"/>
      <c r="O843" s="110"/>
      <c r="P843" s="111"/>
      <c r="Q843" s="112"/>
      <c r="R843" s="112"/>
    </row>
    <row r="844" spans="5:18" customFormat="1" x14ac:dyDescent="0.3">
      <c r="E844" s="108"/>
      <c r="F844" s="109"/>
      <c r="G844" s="109"/>
      <c r="H844" s="109"/>
      <c r="I844" s="109"/>
      <c r="J844" s="110"/>
      <c r="K844" s="110"/>
      <c r="L844" s="110"/>
      <c r="M844" s="110"/>
      <c r="N844" s="110"/>
      <c r="O844" s="110"/>
      <c r="P844" s="111"/>
      <c r="Q844" s="112"/>
      <c r="R844" s="112"/>
    </row>
    <row r="845" spans="5:18" customFormat="1" x14ac:dyDescent="0.3">
      <c r="E845" s="108"/>
      <c r="F845" s="109"/>
      <c r="G845" s="109"/>
      <c r="H845" s="109"/>
      <c r="I845" s="109"/>
      <c r="J845" s="110"/>
      <c r="K845" s="110"/>
      <c r="L845" s="110"/>
      <c r="M845" s="110"/>
      <c r="N845" s="110"/>
      <c r="O845" s="110"/>
      <c r="P845" s="111"/>
      <c r="Q845" s="112"/>
      <c r="R845" s="112"/>
    </row>
    <row r="846" spans="5:18" customFormat="1" x14ac:dyDescent="0.3">
      <c r="E846" s="108"/>
      <c r="F846" s="109"/>
      <c r="G846" s="109"/>
      <c r="H846" s="109"/>
      <c r="I846" s="109"/>
      <c r="J846" s="110"/>
      <c r="K846" s="110"/>
      <c r="L846" s="110"/>
      <c r="M846" s="110"/>
      <c r="N846" s="110"/>
      <c r="O846" s="110"/>
      <c r="P846" s="111"/>
      <c r="Q846" s="112"/>
      <c r="R846" s="112"/>
    </row>
    <row r="847" spans="5:18" customFormat="1" x14ac:dyDescent="0.3">
      <c r="E847" s="108"/>
      <c r="F847" s="109"/>
      <c r="G847" s="109"/>
      <c r="H847" s="109"/>
      <c r="I847" s="109"/>
      <c r="J847" s="110"/>
      <c r="K847" s="110"/>
      <c r="L847" s="110"/>
      <c r="M847" s="110"/>
      <c r="N847" s="110"/>
      <c r="O847" s="110"/>
      <c r="P847" s="111"/>
      <c r="Q847" s="112"/>
      <c r="R847" s="112"/>
    </row>
    <row r="848" spans="5:18" customFormat="1" x14ac:dyDescent="0.3">
      <c r="E848" s="108"/>
      <c r="F848" s="109"/>
      <c r="G848" s="109"/>
      <c r="H848" s="109"/>
      <c r="I848" s="109"/>
      <c r="J848" s="110"/>
      <c r="K848" s="110"/>
      <c r="L848" s="110"/>
      <c r="M848" s="110"/>
      <c r="N848" s="110"/>
      <c r="O848" s="110"/>
      <c r="P848" s="111"/>
      <c r="Q848" s="112"/>
      <c r="R848" s="112"/>
    </row>
    <row r="849" spans="5:18" customFormat="1" x14ac:dyDescent="0.3">
      <c r="E849" s="108"/>
      <c r="F849" s="109"/>
      <c r="G849" s="109"/>
      <c r="H849" s="109"/>
      <c r="I849" s="109"/>
      <c r="J849" s="110"/>
      <c r="K849" s="110"/>
      <c r="L849" s="110"/>
      <c r="M849" s="110"/>
      <c r="N849" s="110"/>
      <c r="O849" s="110"/>
      <c r="P849" s="111"/>
      <c r="Q849" s="112"/>
      <c r="R849" s="112"/>
    </row>
    <row r="850" spans="5:18" customFormat="1" x14ac:dyDescent="0.3">
      <c r="E850" s="108"/>
      <c r="F850" s="109"/>
      <c r="G850" s="109"/>
      <c r="H850" s="109"/>
      <c r="I850" s="109"/>
      <c r="J850" s="110"/>
      <c r="K850" s="110"/>
      <c r="L850" s="110"/>
      <c r="M850" s="110"/>
      <c r="N850" s="110"/>
      <c r="O850" s="110"/>
      <c r="P850" s="111"/>
      <c r="Q850" s="112"/>
      <c r="R850" s="112"/>
    </row>
    <row r="851" spans="5:18" customFormat="1" x14ac:dyDescent="0.3">
      <c r="E851" s="108"/>
      <c r="F851" s="109"/>
      <c r="G851" s="109"/>
      <c r="H851" s="109"/>
      <c r="I851" s="109"/>
      <c r="J851" s="110"/>
      <c r="K851" s="110"/>
      <c r="L851" s="110"/>
      <c r="M851" s="110"/>
      <c r="N851" s="110"/>
      <c r="O851" s="110"/>
      <c r="P851" s="111"/>
      <c r="Q851" s="112"/>
      <c r="R851" s="112"/>
    </row>
    <row r="852" spans="5:18" customFormat="1" x14ac:dyDescent="0.3">
      <c r="E852" s="108"/>
      <c r="F852" s="109"/>
      <c r="G852" s="109"/>
      <c r="H852" s="109"/>
      <c r="I852" s="109"/>
      <c r="J852" s="110"/>
      <c r="K852" s="110"/>
      <c r="L852" s="110"/>
      <c r="M852" s="110"/>
      <c r="N852" s="110"/>
      <c r="O852" s="110"/>
      <c r="P852" s="111"/>
      <c r="Q852" s="112"/>
      <c r="R852" s="112"/>
    </row>
    <row r="853" spans="5:18" customFormat="1" x14ac:dyDescent="0.3">
      <c r="E853" s="108"/>
      <c r="F853" s="109"/>
      <c r="G853" s="109"/>
      <c r="H853" s="109"/>
      <c r="I853" s="109"/>
      <c r="J853" s="110"/>
      <c r="K853" s="110"/>
      <c r="L853" s="110"/>
      <c r="M853" s="110"/>
      <c r="N853" s="110"/>
      <c r="O853" s="110"/>
      <c r="P853" s="113"/>
      <c r="Q853" s="112"/>
      <c r="R853" s="112"/>
    </row>
    <row r="854" spans="5:18" customFormat="1" x14ac:dyDescent="0.3">
      <c r="E854" s="108"/>
      <c r="F854" s="109"/>
      <c r="G854" s="109"/>
      <c r="H854" s="109"/>
      <c r="I854" s="109"/>
      <c r="J854" s="110"/>
      <c r="K854" s="110"/>
      <c r="L854" s="110"/>
      <c r="M854" s="110"/>
      <c r="N854" s="110"/>
      <c r="O854" s="110"/>
      <c r="P854" s="113"/>
      <c r="Q854" s="112"/>
      <c r="R854" s="112"/>
    </row>
    <row r="855" spans="5:18" customFormat="1" x14ac:dyDescent="0.3">
      <c r="E855" s="108"/>
      <c r="F855" s="109"/>
      <c r="G855" s="109"/>
      <c r="H855" s="109"/>
      <c r="I855" s="109"/>
      <c r="J855" s="110"/>
      <c r="K855" s="110"/>
      <c r="L855" s="110"/>
      <c r="M855" s="110"/>
      <c r="N855" s="110"/>
      <c r="O855" s="110"/>
      <c r="P855" s="113"/>
      <c r="Q855" s="112"/>
      <c r="R855" s="112"/>
    </row>
    <row r="856" spans="5:18" customFormat="1" x14ac:dyDescent="0.3">
      <c r="E856" s="108"/>
      <c r="F856" s="109"/>
      <c r="G856" s="109"/>
      <c r="H856" s="109"/>
      <c r="I856" s="109"/>
      <c r="J856" s="110"/>
      <c r="K856" s="110"/>
      <c r="L856" s="110"/>
      <c r="M856" s="110"/>
      <c r="N856" s="110"/>
      <c r="O856" s="110"/>
      <c r="P856" s="113"/>
      <c r="Q856" s="112"/>
      <c r="R856" s="112"/>
    </row>
    <row r="857" spans="5:18" customFormat="1" x14ac:dyDescent="0.3">
      <c r="E857" s="108"/>
      <c r="F857" s="109"/>
      <c r="G857" s="109"/>
      <c r="H857" s="109"/>
      <c r="I857" s="109"/>
      <c r="J857" s="110"/>
      <c r="K857" s="110"/>
      <c r="L857" s="110"/>
      <c r="M857" s="110"/>
      <c r="N857" s="110"/>
      <c r="O857" s="110"/>
      <c r="P857" s="113"/>
      <c r="Q857" s="112"/>
      <c r="R857" s="112"/>
    </row>
    <row r="858" spans="5:18" customFormat="1" x14ac:dyDescent="0.3">
      <c r="E858" s="108"/>
      <c r="F858" s="109"/>
      <c r="G858" s="109"/>
      <c r="H858" s="109"/>
      <c r="I858" s="109"/>
      <c r="J858" s="110"/>
      <c r="K858" s="110"/>
      <c r="L858" s="110"/>
      <c r="M858" s="110"/>
      <c r="N858" s="110"/>
      <c r="O858" s="110"/>
      <c r="P858" s="113"/>
      <c r="Q858" s="112"/>
      <c r="R858" s="112"/>
    </row>
    <row r="859" spans="5:18" customFormat="1" x14ac:dyDescent="0.3">
      <c r="E859" s="108"/>
      <c r="F859" s="109"/>
      <c r="G859" s="109"/>
      <c r="H859" s="109"/>
      <c r="I859" s="109"/>
      <c r="J859" s="110"/>
      <c r="K859" s="110"/>
      <c r="L859" s="110"/>
      <c r="M859" s="110"/>
      <c r="N859" s="110"/>
      <c r="O859" s="110"/>
      <c r="P859" s="113"/>
      <c r="Q859" s="112"/>
      <c r="R859" s="112"/>
    </row>
    <row r="860" spans="5:18" customFormat="1" x14ac:dyDescent="0.3">
      <c r="E860" s="108"/>
      <c r="F860" s="109"/>
      <c r="G860" s="109"/>
      <c r="H860" s="109"/>
      <c r="I860" s="109"/>
      <c r="J860" s="110"/>
      <c r="K860" s="110"/>
      <c r="L860" s="110"/>
      <c r="M860" s="110"/>
      <c r="N860" s="110"/>
      <c r="O860" s="110"/>
      <c r="P860" s="113"/>
      <c r="Q860" s="112"/>
      <c r="R860" s="112"/>
    </row>
    <row r="861" spans="5:18" customFormat="1" x14ac:dyDescent="0.3">
      <c r="E861" s="108"/>
      <c r="F861" s="109"/>
      <c r="G861" s="109"/>
      <c r="H861" s="109"/>
      <c r="I861" s="109"/>
      <c r="J861" s="110"/>
      <c r="K861" s="110"/>
      <c r="L861" s="110"/>
      <c r="M861" s="110"/>
      <c r="N861" s="110"/>
      <c r="O861" s="110"/>
      <c r="P861" s="113"/>
      <c r="Q861" s="112"/>
      <c r="R861" s="112"/>
    </row>
    <row r="862" spans="5:18" customFormat="1" x14ac:dyDescent="0.3">
      <c r="E862" s="108"/>
      <c r="F862" s="109"/>
      <c r="G862" s="109"/>
      <c r="H862" s="109"/>
      <c r="I862" s="109"/>
      <c r="J862" s="110"/>
      <c r="K862" s="110"/>
      <c r="L862" s="110"/>
      <c r="M862" s="110"/>
      <c r="N862" s="110"/>
      <c r="O862" s="110"/>
      <c r="P862" s="113"/>
      <c r="Q862" s="112"/>
      <c r="R862" s="112"/>
    </row>
    <row r="863" spans="5:18" customFormat="1" x14ac:dyDescent="0.3">
      <c r="E863" s="108"/>
      <c r="F863" s="109"/>
      <c r="G863" s="109"/>
      <c r="H863" s="109"/>
      <c r="I863" s="109"/>
      <c r="J863" s="110"/>
      <c r="K863" s="110"/>
      <c r="L863" s="110"/>
      <c r="M863" s="110"/>
      <c r="N863" s="110"/>
      <c r="O863" s="110"/>
      <c r="P863" s="113"/>
      <c r="Q863" s="112"/>
      <c r="R863" s="112"/>
    </row>
    <row r="864" spans="5:18" customFormat="1" x14ac:dyDescent="0.3">
      <c r="E864" s="108"/>
      <c r="F864" s="109"/>
      <c r="G864" s="109"/>
      <c r="H864" s="109"/>
      <c r="I864" s="109"/>
      <c r="J864" s="110"/>
      <c r="K864" s="110"/>
      <c r="L864" s="110"/>
      <c r="M864" s="110"/>
      <c r="N864" s="110"/>
      <c r="O864" s="110"/>
      <c r="P864" s="113"/>
      <c r="Q864" s="112"/>
      <c r="R864" s="112"/>
    </row>
    <row r="865" spans="5:18" customFormat="1" x14ac:dyDescent="0.3">
      <c r="E865" s="108"/>
      <c r="F865" s="109"/>
      <c r="G865" s="109"/>
      <c r="H865" s="109"/>
      <c r="I865" s="109"/>
      <c r="J865" s="110"/>
      <c r="K865" s="110"/>
      <c r="L865" s="110"/>
      <c r="M865" s="110"/>
      <c r="N865" s="110"/>
      <c r="O865" s="110"/>
      <c r="P865" s="113"/>
      <c r="Q865" s="112"/>
      <c r="R865" s="112"/>
    </row>
    <row r="866" spans="5:18" customFormat="1" x14ac:dyDescent="0.3">
      <c r="E866" s="108"/>
      <c r="F866" s="109"/>
      <c r="G866" s="109"/>
      <c r="H866" s="109"/>
      <c r="I866" s="109"/>
      <c r="J866" s="110"/>
      <c r="K866" s="110"/>
      <c r="L866" s="110"/>
      <c r="M866" s="110"/>
      <c r="N866" s="110"/>
      <c r="O866" s="110"/>
      <c r="P866" s="113"/>
      <c r="Q866" s="112"/>
      <c r="R866" s="112"/>
    </row>
    <row r="867" spans="5:18" customFormat="1" x14ac:dyDescent="0.3">
      <c r="E867" s="108"/>
      <c r="F867" s="109"/>
      <c r="G867" s="109"/>
      <c r="H867" s="109"/>
      <c r="I867" s="109"/>
      <c r="J867" s="110"/>
      <c r="K867" s="110"/>
      <c r="L867" s="110"/>
      <c r="M867" s="110"/>
      <c r="N867" s="110"/>
      <c r="O867" s="110"/>
      <c r="P867" s="113"/>
      <c r="Q867" s="112"/>
      <c r="R867" s="112"/>
    </row>
    <row r="868" spans="5:18" customFormat="1" x14ac:dyDescent="0.3">
      <c r="E868" s="108"/>
      <c r="F868" s="109"/>
      <c r="G868" s="109"/>
      <c r="H868" s="109"/>
      <c r="I868" s="109"/>
      <c r="J868" s="110"/>
      <c r="K868" s="110"/>
      <c r="L868" s="110"/>
      <c r="M868" s="110"/>
      <c r="N868" s="110"/>
      <c r="O868" s="110"/>
      <c r="P868" s="113"/>
      <c r="Q868" s="112"/>
      <c r="R868" s="112"/>
    </row>
    <row r="869" spans="5:18" customFormat="1" x14ac:dyDescent="0.3">
      <c r="E869" s="108"/>
      <c r="F869" s="109"/>
      <c r="G869" s="109"/>
      <c r="H869" s="109"/>
      <c r="I869" s="109"/>
      <c r="J869" s="110"/>
      <c r="K869" s="110"/>
      <c r="L869" s="110"/>
      <c r="M869" s="110"/>
      <c r="N869" s="110"/>
      <c r="O869" s="110"/>
      <c r="P869" s="113"/>
      <c r="Q869" s="112"/>
      <c r="R869" s="112"/>
    </row>
    <row r="870" spans="5:18" customFormat="1" x14ac:dyDescent="0.3">
      <c r="E870" s="108"/>
      <c r="F870" s="109"/>
      <c r="G870" s="109"/>
      <c r="H870" s="109"/>
      <c r="I870" s="109"/>
      <c r="J870" s="110"/>
      <c r="K870" s="110"/>
      <c r="L870" s="110"/>
      <c r="M870" s="110"/>
      <c r="N870" s="110"/>
      <c r="O870" s="110"/>
      <c r="P870" s="113"/>
      <c r="Q870" s="112"/>
      <c r="R870" s="112"/>
    </row>
    <row r="871" spans="5:18" customFormat="1" x14ac:dyDescent="0.3">
      <c r="E871" s="108"/>
      <c r="F871" s="109"/>
      <c r="G871" s="109"/>
      <c r="H871" s="109"/>
      <c r="I871" s="109"/>
      <c r="J871" s="110"/>
      <c r="K871" s="110"/>
      <c r="L871" s="110"/>
      <c r="M871" s="110"/>
      <c r="N871" s="110"/>
      <c r="O871" s="110"/>
      <c r="P871" s="113"/>
      <c r="Q871" s="112"/>
      <c r="R871" s="112"/>
    </row>
    <row r="872" spans="5:18" customFormat="1" x14ac:dyDescent="0.3">
      <c r="E872" s="108"/>
      <c r="F872" s="109"/>
      <c r="G872" s="109"/>
      <c r="H872" s="109"/>
      <c r="I872" s="109"/>
      <c r="J872" s="110"/>
      <c r="K872" s="110"/>
      <c r="L872" s="110"/>
      <c r="M872" s="110"/>
      <c r="N872" s="110"/>
      <c r="O872" s="110"/>
      <c r="P872" s="113"/>
      <c r="Q872" s="112"/>
      <c r="R872" s="112"/>
    </row>
    <row r="873" spans="5:18" customFormat="1" x14ac:dyDescent="0.3">
      <c r="E873" s="108"/>
      <c r="F873" s="109"/>
      <c r="G873" s="109"/>
      <c r="H873" s="109"/>
      <c r="I873" s="109"/>
      <c r="J873" s="110"/>
      <c r="K873" s="110"/>
      <c r="L873" s="110"/>
      <c r="M873" s="110"/>
      <c r="N873" s="110"/>
      <c r="O873" s="110"/>
      <c r="P873" s="113"/>
      <c r="Q873" s="112"/>
      <c r="R873" s="112"/>
    </row>
    <row r="874" spans="5:18" customFormat="1" x14ac:dyDescent="0.3">
      <c r="E874" s="108"/>
      <c r="F874" s="109"/>
      <c r="G874" s="109"/>
      <c r="H874" s="109"/>
      <c r="I874" s="109"/>
      <c r="J874" s="110"/>
      <c r="K874" s="110"/>
      <c r="L874" s="110"/>
      <c r="M874" s="110"/>
      <c r="N874" s="110"/>
      <c r="O874" s="110"/>
      <c r="P874" s="113"/>
      <c r="Q874" s="112"/>
      <c r="R874" s="112"/>
    </row>
    <row r="875" spans="5:18" customFormat="1" x14ac:dyDescent="0.3">
      <c r="E875" s="108"/>
      <c r="F875" s="109"/>
      <c r="G875" s="109"/>
      <c r="H875" s="109"/>
      <c r="I875" s="109"/>
      <c r="J875" s="110"/>
      <c r="K875" s="110"/>
      <c r="L875" s="110"/>
      <c r="M875" s="110"/>
      <c r="N875" s="110"/>
      <c r="O875" s="110"/>
      <c r="P875" s="113"/>
      <c r="Q875" s="112"/>
      <c r="R875" s="112"/>
    </row>
    <row r="876" spans="5:18" customFormat="1" x14ac:dyDescent="0.3">
      <c r="E876" s="108"/>
      <c r="F876" s="109"/>
      <c r="G876" s="109"/>
      <c r="H876" s="109"/>
      <c r="I876" s="109"/>
      <c r="J876" s="110"/>
      <c r="K876" s="110"/>
      <c r="L876" s="110"/>
      <c r="M876" s="110"/>
      <c r="N876" s="110"/>
      <c r="O876" s="110"/>
      <c r="P876" s="113"/>
      <c r="Q876" s="112"/>
      <c r="R876" s="112"/>
    </row>
    <row r="877" spans="5:18" customFormat="1" x14ac:dyDescent="0.3">
      <c r="E877" s="108"/>
      <c r="F877" s="109"/>
      <c r="G877" s="109"/>
      <c r="H877" s="109"/>
      <c r="I877" s="109"/>
      <c r="J877" s="110"/>
      <c r="K877" s="110"/>
      <c r="L877" s="110"/>
      <c r="M877" s="110"/>
      <c r="N877" s="110"/>
      <c r="O877" s="110"/>
      <c r="P877" s="113"/>
      <c r="Q877" s="112"/>
      <c r="R877" s="112"/>
    </row>
    <row r="878" spans="5:18" customFormat="1" x14ac:dyDescent="0.3">
      <c r="E878" s="108"/>
      <c r="F878" s="109"/>
      <c r="G878" s="109"/>
      <c r="H878" s="109"/>
      <c r="I878" s="109"/>
      <c r="J878" s="110"/>
      <c r="K878" s="110"/>
      <c r="L878" s="110"/>
      <c r="M878" s="110"/>
      <c r="N878" s="110"/>
      <c r="O878" s="110"/>
      <c r="P878" s="113"/>
      <c r="Q878" s="112"/>
      <c r="R878" s="112"/>
    </row>
    <row r="879" spans="5:18" customFormat="1" x14ac:dyDescent="0.3">
      <c r="E879" s="108"/>
      <c r="F879" s="109"/>
      <c r="G879" s="109"/>
      <c r="H879" s="109"/>
      <c r="I879" s="109"/>
      <c r="J879" s="110"/>
      <c r="K879" s="110"/>
      <c r="L879" s="110"/>
      <c r="M879" s="110"/>
      <c r="N879" s="110"/>
      <c r="O879" s="110"/>
      <c r="P879" s="113"/>
      <c r="Q879" s="112"/>
      <c r="R879" s="112"/>
    </row>
    <row r="880" spans="5:18" customFormat="1" x14ac:dyDescent="0.3">
      <c r="E880" s="108"/>
      <c r="F880" s="109"/>
      <c r="G880" s="109"/>
      <c r="H880" s="109"/>
      <c r="I880" s="109"/>
      <c r="J880" s="110"/>
      <c r="K880" s="110"/>
      <c r="L880" s="110"/>
      <c r="M880" s="110"/>
      <c r="N880" s="110"/>
      <c r="O880" s="110"/>
      <c r="P880" s="113"/>
      <c r="Q880" s="112"/>
      <c r="R880" s="112"/>
    </row>
    <row r="881" spans="5:18" customFormat="1" x14ac:dyDescent="0.3">
      <c r="E881" s="108"/>
      <c r="F881" s="109"/>
      <c r="G881" s="109"/>
      <c r="H881" s="109"/>
      <c r="I881" s="109"/>
      <c r="J881" s="110"/>
      <c r="K881" s="110"/>
      <c r="L881" s="110"/>
      <c r="M881" s="110"/>
      <c r="N881" s="110"/>
      <c r="O881" s="110"/>
      <c r="P881" s="113"/>
      <c r="Q881" s="112"/>
      <c r="R881" s="112"/>
    </row>
    <row r="882" spans="5:18" customFormat="1" x14ac:dyDescent="0.3">
      <c r="E882" s="108"/>
      <c r="F882" s="109"/>
      <c r="G882" s="109"/>
      <c r="H882" s="109"/>
      <c r="I882" s="109"/>
      <c r="J882" s="110"/>
      <c r="K882" s="110"/>
      <c r="L882" s="110"/>
      <c r="M882" s="110"/>
      <c r="N882" s="110"/>
      <c r="O882" s="110"/>
      <c r="P882" s="113"/>
      <c r="Q882" s="112"/>
      <c r="R882" s="112"/>
    </row>
    <row r="883" spans="5:18" customFormat="1" x14ac:dyDescent="0.3">
      <c r="E883" s="108"/>
      <c r="F883" s="109"/>
      <c r="G883" s="109"/>
      <c r="H883" s="109"/>
      <c r="I883" s="109"/>
      <c r="J883" s="110"/>
      <c r="K883" s="110"/>
      <c r="L883" s="110"/>
      <c r="M883" s="110"/>
      <c r="N883" s="110"/>
      <c r="O883" s="110"/>
      <c r="P883" s="113"/>
      <c r="Q883" s="112"/>
      <c r="R883" s="112"/>
    </row>
    <row r="884" spans="5:18" customFormat="1" x14ac:dyDescent="0.3">
      <c r="E884" s="108"/>
      <c r="F884" s="109"/>
      <c r="G884" s="109"/>
      <c r="H884" s="109"/>
      <c r="I884" s="109"/>
      <c r="J884" s="110"/>
      <c r="K884" s="110"/>
      <c r="L884" s="110"/>
      <c r="M884" s="110"/>
      <c r="N884" s="110"/>
      <c r="O884" s="110"/>
      <c r="P884" s="113"/>
      <c r="Q884" s="112"/>
      <c r="R884" s="112"/>
    </row>
    <row r="885" spans="5:18" customFormat="1" x14ac:dyDescent="0.3">
      <c r="E885" s="108"/>
      <c r="F885" s="109"/>
      <c r="G885" s="109"/>
      <c r="H885" s="109"/>
      <c r="I885" s="109"/>
      <c r="J885" s="110"/>
      <c r="K885" s="110"/>
      <c r="L885" s="110"/>
      <c r="M885" s="110"/>
      <c r="N885" s="110"/>
      <c r="O885" s="110"/>
      <c r="P885" s="113"/>
      <c r="Q885" s="112"/>
      <c r="R885" s="112"/>
    </row>
  </sheetData>
  <mergeCells count="1">
    <mergeCell ref="A1:R1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9" fitToHeight="100" orientation="landscape" r:id="rId1"/>
  <headerFooter>
    <oddFooter>&amp;RPagina &amp;P di &amp;N</oddFooter>
  </headerFooter>
  <rowBreaks count="7" manualBreakCount="7">
    <brk id="71" max="17" man="1"/>
    <brk id="147" max="17" man="1"/>
    <brk id="224" max="17" man="1"/>
    <brk id="300" max="17" man="1"/>
    <brk id="393" max="17" man="1"/>
    <brk id="483" max="17" man="1"/>
    <brk id="576" max="17" man="1"/>
  </rowBreaks>
  <ignoredErrors>
    <ignoredError sqref="C624:C630 C595:C596" numberStoredAsText="1"/>
    <ignoredError sqref="M116" formula="1"/>
    <ignoredError sqref="K381:K382 N590:N592 M591:M592 L591:L592 K590:K592 J591:J59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AD20-C6AC-4938-B137-B897C82312D3}">
  <dimension ref="D4:L41"/>
  <sheetViews>
    <sheetView topLeftCell="A4" workbookViewId="0">
      <selection activeCell="L23" sqref="L23"/>
    </sheetView>
  </sheetViews>
  <sheetFormatPr defaultRowHeight="14.8" x14ac:dyDescent="0.3"/>
  <cols>
    <col min="7" max="8" width="11.77734375" bestFit="1" customWidth="1"/>
    <col min="9" max="9" width="12.77734375" bestFit="1" customWidth="1"/>
    <col min="12" max="12" width="10" bestFit="1" customWidth="1"/>
  </cols>
  <sheetData>
    <row r="4" spans="4:8" x14ac:dyDescent="0.3">
      <c r="D4">
        <v>1</v>
      </c>
      <c r="E4">
        <v>1181441</v>
      </c>
      <c r="F4" s="104" t="s">
        <v>750</v>
      </c>
      <c r="G4" s="104" t="s">
        <v>780</v>
      </c>
      <c r="H4" s="104" t="s">
        <v>751</v>
      </c>
    </row>
    <row r="5" spans="4:8" x14ac:dyDescent="0.3">
      <c r="D5">
        <v>2</v>
      </c>
      <c r="E5">
        <v>1186064</v>
      </c>
      <c r="F5" s="104" t="s">
        <v>751</v>
      </c>
      <c r="G5" s="104" t="s">
        <v>751</v>
      </c>
      <c r="H5" s="104" t="s">
        <v>751</v>
      </c>
    </row>
    <row r="6" spans="4:8" x14ac:dyDescent="0.3">
      <c r="D6">
        <v>3</v>
      </c>
      <c r="E6">
        <v>1210075</v>
      </c>
      <c r="F6" s="104" t="s">
        <v>751</v>
      </c>
      <c r="G6" s="104" t="s">
        <v>751</v>
      </c>
      <c r="H6" s="104" t="s">
        <v>751</v>
      </c>
    </row>
    <row r="7" spans="4:8" x14ac:dyDescent="0.3">
      <c r="D7">
        <v>4</v>
      </c>
      <c r="E7">
        <v>1261250</v>
      </c>
      <c r="F7" s="104" t="s">
        <v>751</v>
      </c>
      <c r="G7" s="104" t="s">
        <v>751</v>
      </c>
      <c r="H7" s="104" t="s">
        <v>751</v>
      </c>
    </row>
    <row r="8" spans="4:8" x14ac:dyDescent="0.3">
      <c r="D8">
        <v>5</v>
      </c>
      <c r="E8">
        <v>1261584</v>
      </c>
      <c r="F8" s="104" t="s">
        <v>751</v>
      </c>
      <c r="G8" s="104" t="s">
        <v>751</v>
      </c>
      <c r="H8" s="104" t="s">
        <v>751</v>
      </c>
    </row>
    <row r="9" spans="4:8" x14ac:dyDescent="0.3">
      <c r="D9">
        <v>6</v>
      </c>
      <c r="E9">
        <v>1261649</v>
      </c>
      <c r="F9" s="104" t="s">
        <v>751</v>
      </c>
      <c r="G9" s="104" t="s">
        <v>751</v>
      </c>
      <c r="H9" s="104" t="s">
        <v>751</v>
      </c>
    </row>
    <row r="10" spans="4:8" x14ac:dyDescent="0.3">
      <c r="D10">
        <v>7</v>
      </c>
      <c r="E10">
        <v>1261659</v>
      </c>
      <c r="F10" s="104" t="s">
        <v>752</v>
      </c>
      <c r="G10" s="104">
        <v>14206</v>
      </c>
      <c r="H10" s="104">
        <v>3267.38</v>
      </c>
    </row>
    <row r="11" spans="4:8" x14ac:dyDescent="0.3">
      <c r="D11">
        <v>8</v>
      </c>
      <c r="E11">
        <v>1372315</v>
      </c>
      <c r="F11" s="104" t="s">
        <v>751</v>
      </c>
      <c r="G11" s="104" t="s">
        <v>751</v>
      </c>
      <c r="H11" s="104" t="s">
        <v>751</v>
      </c>
    </row>
    <row r="12" spans="4:8" x14ac:dyDescent="0.3">
      <c r="D12">
        <v>9</v>
      </c>
      <c r="E12">
        <v>1372359</v>
      </c>
      <c r="F12" s="104" t="s">
        <v>751</v>
      </c>
      <c r="G12" s="104" t="s">
        <v>751</v>
      </c>
      <c r="H12" s="104" t="s">
        <v>751</v>
      </c>
    </row>
    <row r="13" spans="4:8" x14ac:dyDescent="0.3">
      <c r="D13">
        <v>10</v>
      </c>
      <c r="E13">
        <v>1396547</v>
      </c>
      <c r="F13" s="104" t="s">
        <v>751</v>
      </c>
      <c r="G13" s="104" t="s">
        <v>751</v>
      </c>
      <c r="H13" s="104" t="s">
        <v>751</v>
      </c>
    </row>
    <row r="14" spans="4:8" x14ac:dyDescent="0.3">
      <c r="D14">
        <v>11</v>
      </c>
      <c r="E14">
        <v>1396561</v>
      </c>
      <c r="F14" s="104" t="s">
        <v>751</v>
      </c>
      <c r="G14" s="104" t="s">
        <v>751</v>
      </c>
      <c r="H14" s="104" t="s">
        <v>751</v>
      </c>
    </row>
    <row r="15" spans="4:8" x14ac:dyDescent="0.3">
      <c r="D15">
        <v>12</v>
      </c>
      <c r="E15">
        <v>1408513</v>
      </c>
      <c r="F15" s="104" t="s">
        <v>751</v>
      </c>
      <c r="G15" s="104" t="s">
        <v>751</v>
      </c>
      <c r="H15" s="104" t="s">
        <v>751</v>
      </c>
    </row>
    <row r="16" spans="4:8" x14ac:dyDescent="0.3">
      <c r="D16">
        <v>13</v>
      </c>
      <c r="E16">
        <v>1409215</v>
      </c>
      <c r="F16" s="104" t="s">
        <v>751</v>
      </c>
      <c r="G16" s="104" t="s">
        <v>751</v>
      </c>
      <c r="H16" s="104" t="s">
        <v>751</v>
      </c>
    </row>
    <row r="17" spans="4:12" x14ac:dyDescent="0.3">
      <c r="D17">
        <v>14</v>
      </c>
      <c r="E17">
        <v>1409236</v>
      </c>
      <c r="F17" s="104" t="s">
        <v>751</v>
      </c>
      <c r="G17" s="104" t="s">
        <v>751</v>
      </c>
      <c r="H17" s="104" t="s">
        <v>751</v>
      </c>
    </row>
    <row r="18" spans="4:12" x14ac:dyDescent="0.3">
      <c r="D18">
        <v>15</v>
      </c>
      <c r="E18">
        <v>1409243</v>
      </c>
      <c r="F18" s="104" t="s">
        <v>751</v>
      </c>
      <c r="G18" s="104" t="s">
        <v>751</v>
      </c>
      <c r="H18" s="104" t="s">
        <v>751</v>
      </c>
    </row>
    <row r="19" spans="4:12" x14ac:dyDescent="0.3">
      <c r="D19">
        <v>16</v>
      </c>
      <c r="E19">
        <v>1409249</v>
      </c>
      <c r="F19" s="104" t="s">
        <v>751</v>
      </c>
      <c r="G19" s="104" t="s">
        <v>751</v>
      </c>
      <c r="H19" s="104" t="s">
        <v>751</v>
      </c>
    </row>
    <row r="20" spans="4:12" x14ac:dyDescent="0.3">
      <c r="D20">
        <v>17</v>
      </c>
      <c r="E20">
        <v>1409259</v>
      </c>
      <c r="F20" s="104" t="s">
        <v>751</v>
      </c>
      <c r="G20" s="104" t="s">
        <v>751</v>
      </c>
      <c r="H20" s="104" t="s">
        <v>751</v>
      </c>
      <c r="L20" s="105">
        <v>929420.45</v>
      </c>
    </row>
    <row r="21" spans="4:12" x14ac:dyDescent="0.3">
      <c r="D21">
        <v>18</v>
      </c>
      <c r="E21">
        <v>1411341</v>
      </c>
      <c r="F21" s="104" t="s">
        <v>751</v>
      </c>
      <c r="G21" s="104" t="s">
        <v>751</v>
      </c>
      <c r="H21" s="104" t="s">
        <v>751</v>
      </c>
      <c r="L21" s="105">
        <v>18514.259999999998</v>
      </c>
    </row>
    <row r="22" spans="4:12" x14ac:dyDescent="0.3">
      <c r="D22">
        <v>19</v>
      </c>
      <c r="E22">
        <v>1411347</v>
      </c>
      <c r="F22" s="104" t="s">
        <v>751</v>
      </c>
      <c r="G22" s="104" t="s">
        <v>751</v>
      </c>
      <c r="H22" s="104" t="s">
        <v>751</v>
      </c>
      <c r="L22" s="105">
        <f>SUM(L20:L21)</f>
        <v>947934.71</v>
      </c>
    </row>
    <row r="23" spans="4:12" x14ac:dyDescent="0.3">
      <c r="D23">
        <v>20</v>
      </c>
      <c r="E23">
        <v>1411576</v>
      </c>
      <c r="F23" s="104" t="s">
        <v>751</v>
      </c>
      <c r="G23" s="104" t="s">
        <v>751</v>
      </c>
      <c r="H23" s="104" t="s">
        <v>751</v>
      </c>
    </row>
    <row r="24" spans="4:12" x14ac:dyDescent="0.3">
      <c r="D24">
        <v>21</v>
      </c>
      <c r="E24">
        <v>1411673</v>
      </c>
      <c r="F24" s="104" t="s">
        <v>751</v>
      </c>
      <c r="G24" s="104" t="s">
        <v>751</v>
      </c>
      <c r="H24" s="104" t="s">
        <v>751</v>
      </c>
    </row>
    <row r="25" spans="4:12" x14ac:dyDescent="0.3">
      <c r="D25">
        <v>22</v>
      </c>
      <c r="E25">
        <v>1412712</v>
      </c>
      <c r="F25" s="104" t="s">
        <v>751</v>
      </c>
      <c r="G25" s="104" t="s">
        <v>751</v>
      </c>
      <c r="H25" s="104" t="s">
        <v>751</v>
      </c>
    </row>
    <row r="26" spans="4:12" x14ac:dyDescent="0.3">
      <c r="D26">
        <v>23</v>
      </c>
      <c r="E26">
        <v>1413094</v>
      </c>
      <c r="F26" s="104" t="s">
        <v>751</v>
      </c>
      <c r="G26" s="104" t="s">
        <v>751</v>
      </c>
      <c r="H26" s="104" t="s">
        <v>751</v>
      </c>
    </row>
    <row r="27" spans="4:12" x14ac:dyDescent="0.3">
      <c r="D27">
        <v>24</v>
      </c>
      <c r="E27">
        <v>1475877</v>
      </c>
      <c r="F27" s="104" t="s">
        <v>753</v>
      </c>
      <c r="G27" s="104" t="s">
        <v>767</v>
      </c>
      <c r="H27" s="104" t="s">
        <v>751</v>
      </c>
    </row>
    <row r="28" spans="4:12" x14ac:dyDescent="0.3">
      <c r="D28">
        <v>25</v>
      </c>
      <c r="E28">
        <v>1475906</v>
      </c>
      <c r="F28" s="104" t="s">
        <v>754</v>
      </c>
      <c r="G28" s="104" t="s">
        <v>768</v>
      </c>
      <c r="H28" s="104">
        <v>2228.2399999999998</v>
      </c>
    </row>
    <row r="29" spans="4:12" x14ac:dyDescent="0.3">
      <c r="D29">
        <v>26</v>
      </c>
      <c r="E29">
        <v>1753089</v>
      </c>
      <c r="F29" s="104" t="s">
        <v>755</v>
      </c>
      <c r="G29" s="104" t="s">
        <v>769</v>
      </c>
      <c r="H29" s="104">
        <v>115</v>
      </c>
    </row>
    <row r="30" spans="4:12" x14ac:dyDescent="0.3">
      <c r="D30">
        <v>27</v>
      </c>
      <c r="E30">
        <v>1753092</v>
      </c>
      <c r="F30" s="104" t="s">
        <v>756</v>
      </c>
      <c r="G30" s="104" t="s">
        <v>770</v>
      </c>
      <c r="H30" s="104">
        <v>3432.75</v>
      </c>
    </row>
    <row r="31" spans="4:12" x14ac:dyDescent="0.3">
      <c r="D31">
        <v>28</v>
      </c>
      <c r="E31">
        <v>2327166</v>
      </c>
      <c r="F31" s="104" t="s">
        <v>757</v>
      </c>
      <c r="G31" s="104" t="s">
        <v>771</v>
      </c>
      <c r="H31" s="104">
        <v>655.5</v>
      </c>
    </row>
    <row r="32" spans="4:12" x14ac:dyDescent="0.3">
      <c r="D32">
        <v>29</v>
      </c>
      <c r="E32">
        <v>2457872</v>
      </c>
      <c r="F32" s="104" t="s">
        <v>758</v>
      </c>
      <c r="G32" s="104" t="s">
        <v>772</v>
      </c>
      <c r="H32" s="104">
        <v>1076.8599999999999</v>
      </c>
    </row>
    <row r="33" spans="4:9" x14ac:dyDescent="0.3">
      <c r="D33">
        <v>30</v>
      </c>
      <c r="E33">
        <v>2910041</v>
      </c>
      <c r="F33" s="104" t="s">
        <v>759</v>
      </c>
      <c r="G33" s="104" t="s">
        <v>773</v>
      </c>
      <c r="H33" s="104">
        <v>1265</v>
      </c>
    </row>
    <row r="34" spans="4:9" x14ac:dyDescent="0.3">
      <c r="D34">
        <v>31</v>
      </c>
      <c r="E34">
        <v>3168536</v>
      </c>
      <c r="F34" s="104" t="s">
        <v>760</v>
      </c>
      <c r="G34" s="104" t="s">
        <v>774</v>
      </c>
      <c r="H34" s="104">
        <v>1150</v>
      </c>
    </row>
    <row r="35" spans="4:9" x14ac:dyDescent="0.3">
      <c r="D35">
        <v>32</v>
      </c>
      <c r="E35">
        <v>3291195</v>
      </c>
      <c r="F35" s="104" t="s">
        <v>761</v>
      </c>
      <c r="G35" s="104" t="s">
        <v>775</v>
      </c>
      <c r="H35" s="104">
        <v>954.5</v>
      </c>
    </row>
    <row r="36" spans="4:9" x14ac:dyDescent="0.3">
      <c r="D36">
        <v>33</v>
      </c>
      <c r="E36">
        <v>3506057</v>
      </c>
      <c r="F36" s="104" t="s">
        <v>762</v>
      </c>
      <c r="G36" s="104" t="s">
        <v>776</v>
      </c>
      <c r="H36" s="104">
        <v>1311</v>
      </c>
    </row>
    <row r="37" spans="4:9" x14ac:dyDescent="0.3">
      <c r="D37">
        <v>34</v>
      </c>
      <c r="E37">
        <v>3651719</v>
      </c>
      <c r="F37" s="104" t="s">
        <v>763</v>
      </c>
      <c r="G37" s="104">
        <v>78706.42</v>
      </c>
      <c r="H37" s="104">
        <v>1156.3900000000001</v>
      </c>
    </row>
    <row r="38" spans="4:9" x14ac:dyDescent="0.3">
      <c r="D38">
        <v>35</v>
      </c>
      <c r="E38">
        <v>3886479</v>
      </c>
      <c r="F38" s="104" t="s">
        <v>764</v>
      </c>
      <c r="G38" s="104" t="s">
        <v>777</v>
      </c>
      <c r="H38" s="104">
        <v>204.24</v>
      </c>
    </row>
    <row r="39" spans="4:9" x14ac:dyDescent="0.3">
      <c r="D39">
        <v>36</v>
      </c>
      <c r="E39">
        <v>3995441</v>
      </c>
      <c r="F39" s="104" t="s">
        <v>765</v>
      </c>
      <c r="G39" s="104" t="s">
        <v>778</v>
      </c>
      <c r="H39" s="104">
        <v>1697.4</v>
      </c>
    </row>
    <row r="40" spans="4:9" x14ac:dyDescent="0.3">
      <c r="D40">
        <v>37</v>
      </c>
      <c r="E40">
        <v>4554492</v>
      </c>
      <c r="F40" s="104" t="s">
        <v>766</v>
      </c>
      <c r="G40" s="104" t="s">
        <v>779</v>
      </c>
      <c r="H40" s="104">
        <v>0</v>
      </c>
    </row>
    <row r="41" spans="4:9" x14ac:dyDescent="0.3">
      <c r="F41" s="104">
        <f t="shared" ref="F41" si="0">SUM(F4:F40)</f>
        <v>0</v>
      </c>
      <c r="G41" s="104">
        <f>SUM(G4:G40)</f>
        <v>92912.42</v>
      </c>
      <c r="H41" s="104">
        <f>SUM(H4:H40)</f>
        <v>18514.260000000002</v>
      </c>
      <c r="I41" s="104">
        <f>SUM(F41:H41)</f>
        <v>111426.68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9280-24B1-46B2-9096-A36889B75A13}">
  <dimension ref="A2:I10"/>
  <sheetViews>
    <sheetView workbookViewId="0">
      <selection activeCell="I6" sqref="I6"/>
    </sheetView>
  </sheetViews>
  <sheetFormatPr defaultColWidth="9.109375" defaultRowHeight="14.8" x14ac:dyDescent="0.3"/>
  <cols>
    <col min="1" max="3" width="9.109375" style="88"/>
    <col min="4" max="8" width="17" style="88" customWidth="1"/>
    <col min="9" max="9" width="33.33203125" style="88" customWidth="1"/>
    <col min="10" max="16384" width="9.109375" style="88"/>
  </cols>
  <sheetData>
    <row r="2" spans="1:9" ht="99.7" thickBot="1" x14ac:dyDescent="0.35">
      <c r="A2" s="86" t="s">
        <v>738</v>
      </c>
      <c r="B2" s="86" t="s">
        <v>739</v>
      </c>
      <c r="C2" s="86" t="s">
        <v>740</v>
      </c>
      <c r="D2" s="87" t="s">
        <v>741</v>
      </c>
      <c r="E2" s="87" t="s">
        <v>742</v>
      </c>
      <c r="F2" s="87" t="s">
        <v>743</v>
      </c>
      <c r="G2" s="87" t="s">
        <v>744</v>
      </c>
      <c r="H2" s="87" t="s">
        <v>745</v>
      </c>
      <c r="I2" s="87" t="s">
        <v>746</v>
      </c>
    </row>
    <row r="3" spans="1:9" x14ac:dyDescent="0.3">
      <c r="A3" s="89">
        <v>1</v>
      </c>
      <c r="B3" s="89" t="s">
        <v>747</v>
      </c>
      <c r="C3" s="89" t="s">
        <v>748</v>
      </c>
      <c r="D3" s="90">
        <v>19368540</v>
      </c>
      <c r="E3" s="90">
        <v>3514137</v>
      </c>
      <c r="F3" s="90">
        <v>2625137</v>
      </c>
      <c r="G3" s="90">
        <v>889000</v>
      </c>
      <c r="H3" s="91">
        <v>22882677</v>
      </c>
      <c r="I3" s="92">
        <v>0.84642806433899997</v>
      </c>
    </row>
    <row r="4" spans="1:9" x14ac:dyDescent="0.3">
      <c r="A4" s="93">
        <v>2</v>
      </c>
      <c r="B4" s="93" t="s">
        <v>747</v>
      </c>
      <c r="C4" s="93" t="s">
        <v>748</v>
      </c>
      <c r="D4" s="94">
        <v>39255194</v>
      </c>
      <c r="E4" s="94">
        <v>7204675</v>
      </c>
      <c r="F4" s="94">
        <v>6173317</v>
      </c>
      <c r="G4" s="94">
        <v>1031358</v>
      </c>
      <c r="H4" s="95">
        <v>46459869</v>
      </c>
      <c r="I4" s="96">
        <v>0.84492691961699995</v>
      </c>
    </row>
    <row r="5" spans="1:9" x14ac:dyDescent="0.3">
      <c r="A5" s="89">
        <v>3</v>
      </c>
      <c r="B5" s="89" t="s">
        <v>747</v>
      </c>
      <c r="C5" s="89" t="s">
        <v>748</v>
      </c>
      <c r="D5" s="90">
        <v>14546405</v>
      </c>
      <c r="E5" s="90">
        <v>2567013</v>
      </c>
      <c r="F5" s="90">
        <v>2382338</v>
      </c>
      <c r="G5" s="90">
        <v>184675</v>
      </c>
      <c r="H5" s="91">
        <v>17113418</v>
      </c>
      <c r="I5" s="92">
        <v>0.84999998246999997</v>
      </c>
    </row>
    <row r="6" spans="1:9" x14ac:dyDescent="0.3">
      <c r="A6" s="93">
        <v>4</v>
      </c>
      <c r="B6" s="93" t="s">
        <v>747</v>
      </c>
      <c r="C6" s="93" t="s">
        <v>748</v>
      </c>
      <c r="D6" s="94">
        <v>11354559</v>
      </c>
      <c r="E6" s="94">
        <v>2003746</v>
      </c>
      <c r="F6" s="94">
        <v>1396498</v>
      </c>
      <c r="G6" s="94">
        <v>607248</v>
      </c>
      <c r="H6" s="95">
        <v>13358305</v>
      </c>
      <c r="I6" s="96">
        <v>0.84999998128499998</v>
      </c>
    </row>
    <row r="7" spans="1:9" x14ac:dyDescent="0.3">
      <c r="A7" s="89">
        <v>5</v>
      </c>
      <c r="B7" s="89" t="s">
        <v>747</v>
      </c>
      <c r="C7" s="89" t="s">
        <v>748</v>
      </c>
      <c r="D7" s="90">
        <v>9683481</v>
      </c>
      <c r="E7" s="90">
        <v>1708850</v>
      </c>
      <c r="F7" s="90">
        <v>1530252</v>
      </c>
      <c r="G7" s="90">
        <v>178598</v>
      </c>
      <c r="H7" s="91">
        <v>11392331</v>
      </c>
      <c r="I7" s="92">
        <v>0.84999996927800003</v>
      </c>
    </row>
    <row r="8" spans="1:9" x14ac:dyDescent="0.3">
      <c r="A8" s="93">
        <v>6</v>
      </c>
      <c r="B8" s="93" t="s">
        <v>747</v>
      </c>
      <c r="C8" s="93" t="s">
        <v>748</v>
      </c>
      <c r="D8" s="94">
        <v>6013287</v>
      </c>
      <c r="E8" s="94">
        <v>1061169</v>
      </c>
      <c r="F8" s="94">
        <v>1061169</v>
      </c>
      <c r="G8" s="97">
        <v>0</v>
      </c>
      <c r="H8" s="95">
        <v>7074456</v>
      </c>
      <c r="I8" s="96">
        <v>0.849999915188</v>
      </c>
    </row>
    <row r="9" spans="1:9" x14ac:dyDescent="0.3">
      <c r="A9" s="98" t="s">
        <v>748</v>
      </c>
      <c r="B9" s="98" t="s">
        <v>747</v>
      </c>
      <c r="C9" s="99"/>
      <c r="D9" s="91">
        <v>100221466</v>
      </c>
      <c r="E9" s="91">
        <v>18059590</v>
      </c>
      <c r="F9" s="91">
        <v>15168711</v>
      </c>
      <c r="G9" s="91">
        <v>2890879</v>
      </c>
      <c r="H9" s="91">
        <v>118281056</v>
      </c>
      <c r="I9" s="100">
        <v>0.847316293828</v>
      </c>
    </row>
    <row r="10" spans="1:9" x14ac:dyDescent="0.3">
      <c r="A10" s="101" t="s">
        <v>749</v>
      </c>
      <c r="B10" s="101"/>
      <c r="C10" s="101"/>
      <c r="D10" s="102">
        <v>100221466</v>
      </c>
      <c r="E10" s="102">
        <v>18059590</v>
      </c>
      <c r="F10" s="102">
        <v>15168711</v>
      </c>
      <c r="G10" s="102">
        <v>2890879</v>
      </c>
      <c r="H10" s="102">
        <v>118281056</v>
      </c>
      <c r="I10" s="103">
        <v>0.847316293828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Elenco beneficiari italiani lav</vt:lpstr>
      <vt:lpstr>Elenco beneficiari italiani</vt:lpstr>
      <vt:lpstr>Foglio1</vt:lpstr>
      <vt:lpstr>Piano da SFC modifica 2020</vt:lpstr>
      <vt:lpstr>'Elenco beneficiari italiani'!Area_stampa</vt:lpstr>
      <vt:lpstr>'Elenco beneficiari italiani lav'!Area_stampa</vt:lpstr>
      <vt:lpstr>'Elenco beneficiari italiani'!Titoli_stampa</vt:lpstr>
      <vt:lpstr>'Elenco beneficiari italiani lav'!Titoli_stampa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ARCHIDATA SRL</dc:creator>
  <cp:lastModifiedBy>Licia Ribolla</cp:lastModifiedBy>
  <cp:lastPrinted>2024-04-09T09:29:02Z</cp:lastPrinted>
  <dcterms:created xsi:type="dcterms:W3CDTF">2023-05-31T15:43:27Z</dcterms:created>
  <dcterms:modified xsi:type="dcterms:W3CDTF">2024-04-23T13:30:53Z</dcterms:modified>
</cp:coreProperties>
</file>